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https://svtp.sharepoint.com/sites/Zakazky/Sdilene dokumenty/Připravovaná VŘ/_Kam Žeh/2020_07_ZPR_Zeleň/"/>
    </mc:Choice>
  </mc:AlternateContent>
  <xr:revisionPtr revIDLastSave="263" documentId="13_ncr:1_{138CF727-7518-4802-B0F2-E11C2B313107}" xr6:coauthVersionLast="45" xr6:coauthVersionMax="45" xr10:uidLastSave="{C8EB5787-70F0-43D1-BEA4-8E28FCE73501}"/>
  <bookViews>
    <workbookView xWindow="-120" yWindow="-120" windowWidth="29040" windowHeight="15840" tabRatio="429" xr2:uid="{00000000-000D-0000-FFFF-FFFF00000000}"/>
  </bookViews>
  <sheets>
    <sheet name="ROZPOČET" sheetId="1" r:id="rId1"/>
  </sheets>
  <definedNames>
    <definedName name="__xlnm.Print_Area_1">ROZPOČET!$A$1:$J$333</definedName>
    <definedName name="Excel_BuiltIn_Print_Area_1_1">ROZPOČET!$A$1:$J$333</definedName>
    <definedName name="Excel_BuiltIn_Print_Area_1_1_1">ROZPOČET!$A$1:$J$334</definedName>
    <definedName name="Excel_BuiltIn_Print_Area_1_1_1_1">ROZPOČET!$A$45:$J$334</definedName>
    <definedName name="Excel_BuiltIn_Print_Area_2">"#REF!"</definedName>
    <definedName name="Excel_BuiltIn_Print_Area_2_1">"#REF!"</definedName>
    <definedName name="_xlnm.Print_Area" localSheetId="0">ROZPOČET!$A$1:$J$335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9" i="1" l="1"/>
  <c r="J122" i="1" l="1"/>
  <c r="H112" i="1" l="1"/>
  <c r="J112" i="1" s="1"/>
  <c r="N332" i="1" l="1"/>
  <c r="O332" i="1" s="1"/>
  <c r="H185" i="1"/>
  <c r="J185" i="1" s="1"/>
  <c r="H210" i="1" l="1"/>
  <c r="H294" i="1" l="1"/>
  <c r="J294" i="1" s="1"/>
  <c r="H292" i="1"/>
  <c r="J292" i="1" s="1"/>
  <c r="H317" i="1"/>
  <c r="J317" i="1" s="1"/>
  <c r="H316" i="1"/>
  <c r="J316" i="1" s="1"/>
  <c r="H315" i="1"/>
  <c r="J315" i="1" s="1"/>
  <c r="H314" i="1"/>
  <c r="J314" i="1" s="1"/>
  <c r="H313" i="1"/>
  <c r="J313" i="1" s="1"/>
  <c r="H312" i="1"/>
  <c r="J312" i="1" s="1"/>
  <c r="G306" i="1"/>
  <c r="F306" i="1"/>
  <c r="F307" i="1" s="1"/>
  <c r="F305" i="1" s="1"/>
  <c r="E306" i="1"/>
  <c r="E307" i="1" s="1"/>
  <c r="E305" i="1" s="1"/>
  <c r="G304" i="1"/>
  <c r="G305" i="1" s="1"/>
  <c r="H306" i="1" l="1"/>
  <c r="J306" i="1" s="1"/>
  <c r="G307" i="1"/>
  <c r="H307" i="1" s="1"/>
  <c r="J307" i="1" s="1"/>
  <c r="J318" i="1"/>
  <c r="H305" i="1"/>
  <c r="J305" i="1" s="1"/>
  <c r="G301" i="1"/>
  <c r="G302" i="1" s="1"/>
  <c r="F303" i="1"/>
  <c r="E303" i="1"/>
  <c r="F301" i="1"/>
  <c r="E301" i="1"/>
  <c r="E304" i="1" s="1"/>
  <c r="H300" i="1"/>
  <c r="J300" i="1" s="1"/>
  <c r="H309" i="1"/>
  <c r="J309" i="1" s="1"/>
  <c r="H308" i="1"/>
  <c r="J308" i="1" s="1"/>
  <c r="H293" i="1"/>
  <c r="J293" i="1" s="1"/>
  <c r="H291" i="1"/>
  <c r="J291" i="1" s="1"/>
  <c r="H285" i="1"/>
  <c r="H286" i="1"/>
  <c r="H287" i="1"/>
  <c r="H288" i="1"/>
  <c r="H289" i="1"/>
  <c r="H290" i="1"/>
  <c r="H284" i="1"/>
  <c r="H257" i="1"/>
  <c r="J257" i="1" s="1"/>
  <c r="H262" i="1"/>
  <c r="J262" i="1" s="1"/>
  <c r="H267" i="1"/>
  <c r="J267" i="1" s="1"/>
  <c r="H272" i="1"/>
  <c r="J272" i="1" s="1"/>
  <c r="E254" i="1"/>
  <c r="E255" i="1" s="1"/>
  <c r="E279" i="1" s="1"/>
  <c r="H279" i="1" s="1"/>
  <c r="J279" i="1" s="1"/>
  <c r="F254" i="1"/>
  <c r="F255" i="1" s="1"/>
  <c r="E256" i="1"/>
  <c r="F256" i="1"/>
  <c r="E258" i="1"/>
  <c r="E259" i="1" s="1"/>
  <c r="F258" i="1"/>
  <c r="F259" i="1" s="1"/>
  <c r="E260" i="1"/>
  <c r="F260" i="1"/>
  <c r="E261" i="1"/>
  <c r="F261" i="1"/>
  <c r="E263" i="1"/>
  <c r="E264" i="1" s="1"/>
  <c r="F263" i="1"/>
  <c r="F264" i="1" s="1"/>
  <c r="E265" i="1"/>
  <c r="F265" i="1"/>
  <c r="E266" i="1"/>
  <c r="F266" i="1"/>
  <c r="E268" i="1"/>
  <c r="E269" i="1" s="1"/>
  <c r="F268" i="1"/>
  <c r="F269" i="1" s="1"/>
  <c r="E270" i="1"/>
  <c r="F270" i="1"/>
  <c r="E271" i="1"/>
  <c r="F271" i="1"/>
  <c r="E273" i="1"/>
  <c r="E274" i="1" s="1"/>
  <c r="F273" i="1"/>
  <c r="F274" i="1" s="1"/>
  <c r="E275" i="1"/>
  <c r="F275" i="1"/>
  <c r="E276" i="1"/>
  <c r="F276" i="1"/>
  <c r="E277" i="1"/>
  <c r="F277" i="1"/>
  <c r="G253" i="1"/>
  <c r="H253" i="1" s="1"/>
  <c r="J253" i="1" s="1"/>
  <c r="G256" i="1" l="1"/>
  <c r="G276" i="1"/>
  <c r="H276" i="1" s="1"/>
  <c r="J276" i="1" s="1"/>
  <c r="G275" i="1"/>
  <c r="H275" i="1" s="1"/>
  <c r="J275" i="1" s="1"/>
  <c r="G254" i="1"/>
  <c r="H254" i="1" s="1"/>
  <c r="J254" i="1" s="1"/>
  <c r="H256" i="1"/>
  <c r="J256" i="1" s="1"/>
  <c r="G258" i="1"/>
  <c r="G277" i="1"/>
  <c r="H277" i="1" s="1"/>
  <c r="J277" i="1" s="1"/>
  <c r="E278" i="1"/>
  <c r="H278" i="1" s="1"/>
  <c r="J278" i="1" s="1"/>
  <c r="G266" i="1"/>
  <c r="H266" i="1" s="1"/>
  <c r="J266" i="1" s="1"/>
  <c r="G268" i="1"/>
  <c r="G269" i="1" s="1"/>
  <c r="H269" i="1" s="1"/>
  <c r="J269" i="1" s="1"/>
  <c r="G265" i="1"/>
  <c r="H265" i="1" s="1"/>
  <c r="J265" i="1" s="1"/>
  <c r="E302" i="1"/>
  <c r="F302" i="1"/>
  <c r="F304" i="1"/>
  <c r="H304" i="1" s="1"/>
  <c r="J304" i="1" s="1"/>
  <c r="H301" i="1"/>
  <c r="J301" i="1" s="1"/>
  <c r="G303" i="1"/>
  <c r="H303" i="1" s="1"/>
  <c r="J303" i="1" s="1"/>
  <c r="G273" i="1"/>
  <c r="G263" i="1"/>
  <c r="G264" i="1" s="1"/>
  <c r="H264" i="1" s="1"/>
  <c r="J264" i="1" s="1"/>
  <c r="G261" i="1"/>
  <c r="H261" i="1" s="1"/>
  <c r="J261" i="1" s="1"/>
  <c r="G271" i="1"/>
  <c r="H271" i="1" s="1"/>
  <c r="J271" i="1" s="1"/>
  <c r="G260" i="1"/>
  <c r="H260" i="1" s="1"/>
  <c r="J260" i="1" s="1"/>
  <c r="G270" i="1"/>
  <c r="H270" i="1" s="1"/>
  <c r="J270" i="1" s="1"/>
  <c r="H302" i="1" l="1"/>
  <c r="J302" i="1" s="1"/>
  <c r="J310" i="1" s="1"/>
  <c r="J319" i="1" s="1"/>
  <c r="I331" i="1" s="1"/>
  <c r="H268" i="1"/>
  <c r="J268" i="1" s="1"/>
  <c r="H258" i="1"/>
  <c r="J258" i="1" s="1"/>
  <c r="G259" i="1"/>
  <c r="H259" i="1" s="1"/>
  <c r="J259" i="1" s="1"/>
  <c r="G274" i="1"/>
  <c r="H274" i="1" s="1"/>
  <c r="J274" i="1" s="1"/>
  <c r="H273" i="1"/>
  <c r="J273" i="1" s="1"/>
  <c r="H263" i="1"/>
  <c r="J263" i="1" s="1"/>
  <c r="H243" i="1" l="1"/>
  <c r="H232" i="1"/>
  <c r="F241" i="1"/>
  <c r="F238" i="1"/>
  <c r="E233" i="1"/>
  <c r="F233" i="1"/>
  <c r="E234" i="1"/>
  <c r="F234" i="1"/>
  <c r="E235" i="1"/>
  <c r="F235" i="1"/>
  <c r="E236" i="1"/>
  <c r="F236" i="1"/>
  <c r="E237" i="1"/>
  <c r="F237" i="1"/>
  <c r="E238" i="1"/>
  <c r="E239" i="1"/>
  <c r="F239" i="1"/>
  <c r="E240" i="1"/>
  <c r="F240" i="1"/>
  <c r="E241" i="1"/>
  <c r="E242" i="1"/>
  <c r="E244" i="1" s="1"/>
  <c r="F242" i="1"/>
  <c r="F244" i="1" s="1"/>
  <c r="E245" i="1"/>
  <c r="F245" i="1"/>
  <c r="E246" i="1"/>
  <c r="F246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F218" i="1" s="1"/>
  <c r="F219" i="1"/>
  <c r="E220" i="1"/>
  <c r="F220" i="1"/>
  <c r="E221" i="1"/>
  <c r="F221" i="1"/>
  <c r="F222" i="1" s="1"/>
  <c r="E226" i="1"/>
  <c r="F226" i="1"/>
  <c r="G177" i="1"/>
  <c r="E177" i="1"/>
  <c r="H178" i="1"/>
  <c r="H179" i="1"/>
  <c r="F175" i="1"/>
  <c r="F176" i="1" s="1"/>
  <c r="E180" i="1"/>
  <c r="F180" i="1"/>
  <c r="G168" i="1"/>
  <c r="E160" i="1"/>
  <c r="E157" i="1"/>
  <c r="E154" i="1"/>
  <c r="G152" i="1"/>
  <c r="F152" i="1"/>
  <c r="G147" i="1"/>
  <c r="G154" i="1" s="1"/>
  <c r="G146" i="1"/>
  <c r="E152" i="1"/>
  <c r="F147" i="1"/>
  <c r="F150" i="1" s="1"/>
  <c r="F146" i="1"/>
  <c r="F149" i="1" s="1"/>
  <c r="E169" i="1"/>
  <c r="E165" i="1"/>
  <c r="E162" i="1"/>
  <c r="E163" i="1" s="1"/>
  <c r="E148" i="1"/>
  <c r="H148" i="1" s="1"/>
  <c r="E146" i="1"/>
  <c r="H166" i="1"/>
  <c r="E150" i="1"/>
  <c r="F151" i="1"/>
  <c r="E161" i="1"/>
  <c r="F161" i="1"/>
  <c r="F164" i="1"/>
  <c r="F162" i="1" s="1"/>
  <c r="E167" i="1"/>
  <c r="F167" i="1"/>
  <c r="G130" i="1"/>
  <c r="H130" i="1" s="1"/>
  <c r="F127" i="1"/>
  <c r="E127" i="1"/>
  <c r="E132" i="1"/>
  <c r="E131" i="1" s="1"/>
  <c r="F132" i="1"/>
  <c r="F131" i="1" s="1"/>
  <c r="E134" i="1"/>
  <c r="E133" i="1" s="1"/>
  <c r="F134" i="1"/>
  <c r="F133" i="1" s="1"/>
  <c r="H116" i="1"/>
  <c r="H117" i="1"/>
  <c r="H115" i="1"/>
  <c r="E121" i="1"/>
  <c r="F121" i="1"/>
  <c r="E118" i="1"/>
  <c r="E139" i="1" s="1"/>
  <c r="F118" i="1"/>
  <c r="F139" i="1" s="1"/>
  <c r="E119" i="1"/>
  <c r="F119" i="1"/>
  <c r="E120" i="1"/>
  <c r="F120" i="1"/>
  <c r="F113" i="1"/>
  <c r="E113" i="1"/>
  <c r="H107" i="1"/>
  <c r="H108" i="1"/>
  <c r="H109" i="1"/>
  <c r="H110" i="1"/>
  <c r="H111" i="1"/>
  <c r="H106" i="1"/>
  <c r="H99" i="1"/>
  <c r="H94" i="1"/>
  <c r="H93" i="1"/>
  <c r="H89" i="1"/>
  <c r="H88" i="1"/>
  <c r="H84" i="1"/>
  <c r="H81" i="1"/>
  <c r="H77" i="1"/>
  <c r="H76" i="1"/>
  <c r="H72" i="1"/>
  <c r="H71" i="1"/>
  <c r="H67" i="1"/>
  <c r="H66" i="1"/>
  <c r="H62" i="1"/>
  <c r="H61" i="1"/>
  <c r="H57" i="1"/>
  <c r="H56" i="1"/>
  <c r="H52" i="1"/>
  <c r="H51" i="1"/>
  <c r="J51" i="1" s="1"/>
  <c r="E53" i="1"/>
  <c r="E58" i="1"/>
  <c r="E63" i="1"/>
  <c r="E68" i="1"/>
  <c r="F68" i="1"/>
  <c r="F63" i="1"/>
  <c r="F58" i="1"/>
  <c r="F53" i="1"/>
  <c r="E85" i="1"/>
  <c r="E95" i="1"/>
  <c r="F95" i="1"/>
  <c r="E90" i="1"/>
  <c r="F90" i="1"/>
  <c r="F85" i="1"/>
  <c r="E78" i="1"/>
  <c r="F78" i="1"/>
  <c r="E73" i="1"/>
  <c r="F73" i="1"/>
  <c r="G43" i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34" i="1"/>
  <c r="J34" i="1" s="1"/>
  <c r="E43" i="1"/>
  <c r="E175" i="1" s="1"/>
  <c r="E176" i="1" s="1"/>
  <c r="H17" i="1"/>
  <c r="H18" i="1"/>
  <c r="J18" i="1" s="1"/>
  <c r="H19" i="1"/>
  <c r="J19" i="1" s="1"/>
  <c r="H20" i="1"/>
  <c r="J20" i="1" s="1"/>
  <c r="H21" i="1"/>
  <c r="J21" i="1" s="1"/>
  <c r="H22" i="1"/>
  <c r="J22" i="1" s="1"/>
  <c r="H16" i="1"/>
  <c r="J16" i="1" s="1"/>
  <c r="F23" i="1"/>
  <c r="G23" i="1"/>
  <c r="E23" i="1"/>
  <c r="E145" i="1" s="1"/>
  <c r="H26" i="1"/>
  <c r="J26" i="1" s="1"/>
  <c r="H27" i="1"/>
  <c r="J27" i="1" s="1"/>
  <c r="H28" i="1"/>
  <c r="J28" i="1" s="1"/>
  <c r="H29" i="1"/>
  <c r="J29" i="1" s="1"/>
  <c r="H25" i="1"/>
  <c r="F30" i="1"/>
  <c r="G30" i="1"/>
  <c r="H13" i="1"/>
  <c r="G14" i="1"/>
  <c r="G127" i="1" s="1"/>
  <c r="G11" i="1"/>
  <c r="H7" i="1"/>
  <c r="J7" i="1" s="1"/>
  <c r="H8" i="1"/>
  <c r="J8" i="1" s="1"/>
  <c r="H9" i="1"/>
  <c r="J9" i="1" s="1"/>
  <c r="H10" i="1"/>
  <c r="J10" i="1" s="1"/>
  <c r="H6" i="1"/>
  <c r="J6" i="1" s="1"/>
  <c r="F11" i="1"/>
  <c r="F186" i="1" s="1"/>
  <c r="F189" i="1" s="1"/>
  <c r="E11" i="1"/>
  <c r="E186" i="1" s="1"/>
  <c r="G186" i="1" l="1"/>
  <c r="G187" i="1" s="1"/>
  <c r="E218" i="1"/>
  <c r="E222" i="1"/>
  <c r="F247" i="1"/>
  <c r="H247" i="1" s="1"/>
  <c r="F225" i="1"/>
  <c r="F224" i="1"/>
  <c r="F223" i="1" s="1"/>
  <c r="E225" i="1"/>
  <c r="E224" i="1"/>
  <c r="H186" i="1"/>
  <c r="E189" i="1"/>
  <c r="G189" i="1"/>
  <c r="F160" i="1"/>
  <c r="F194" i="1"/>
  <c r="F193" i="1" s="1"/>
  <c r="F199" i="1"/>
  <c r="F200" i="1" s="1"/>
  <c r="F198" i="1"/>
  <c r="F203" i="1"/>
  <c r="F196" i="1"/>
  <c r="F197" i="1"/>
  <c r="F195" i="1"/>
  <c r="F187" i="1"/>
  <c r="F192" i="1"/>
  <c r="F191" i="1" s="1"/>
  <c r="F190" i="1"/>
  <c r="E192" i="1"/>
  <c r="E187" i="1"/>
  <c r="H177" i="1"/>
  <c r="G157" i="1"/>
  <c r="E198" i="1"/>
  <c r="E194" i="1"/>
  <c r="E203" i="1"/>
  <c r="E196" i="1"/>
  <c r="E197" i="1"/>
  <c r="E190" i="1"/>
  <c r="E199" i="1"/>
  <c r="E195" i="1"/>
  <c r="F157" i="1"/>
  <c r="G160" i="1"/>
  <c r="F154" i="1"/>
  <c r="F169" i="1"/>
  <c r="H152" i="1"/>
  <c r="F145" i="1"/>
  <c r="G145" i="1"/>
  <c r="E153" i="1"/>
  <c r="E151" i="1"/>
  <c r="E156" i="1"/>
  <c r="E155" i="1" s="1"/>
  <c r="E149" i="1"/>
  <c r="H147" i="1"/>
  <c r="F165" i="1"/>
  <c r="F163" i="1"/>
  <c r="F140" i="1"/>
  <c r="F156" i="1"/>
  <c r="F155" i="1" s="1"/>
  <c r="F159" i="1"/>
  <c r="F158" i="1" s="1"/>
  <c r="F153" i="1"/>
  <c r="E159" i="1"/>
  <c r="E158" i="1" s="1"/>
  <c r="H146" i="1"/>
  <c r="E140" i="1"/>
  <c r="H43" i="1"/>
  <c r="J43" i="1"/>
  <c r="H30" i="1"/>
  <c r="H23" i="1"/>
  <c r="J17" i="1"/>
  <c r="J23" i="1" s="1"/>
  <c r="J25" i="1"/>
  <c r="J30" i="1" s="1"/>
  <c r="J11" i="1"/>
  <c r="H11" i="1"/>
  <c r="G175" i="1"/>
  <c r="G190" i="1"/>
  <c r="E223" i="1" l="1"/>
  <c r="F227" i="1"/>
  <c r="E227" i="1"/>
  <c r="E193" i="1"/>
  <c r="E191" i="1"/>
  <c r="E200" i="1"/>
  <c r="H190" i="1"/>
  <c r="H187" i="1"/>
  <c r="H189" i="1"/>
  <c r="E188" i="1"/>
  <c r="E204" i="1"/>
  <c r="E201" i="1"/>
  <c r="E202" i="1" s="1"/>
  <c r="F201" i="1"/>
  <c r="F188" i="1"/>
  <c r="F204" i="1"/>
  <c r="H175" i="1"/>
  <c r="G176" i="1"/>
  <c r="H176" i="1" s="1"/>
  <c r="H145" i="1"/>
  <c r="F170" i="1"/>
  <c r="E170" i="1"/>
  <c r="F202" i="1" l="1"/>
  <c r="F205" i="1" s="1"/>
  <c r="G238" i="1"/>
  <c r="H238" i="1" s="1"/>
  <c r="G217" i="1"/>
  <c r="H217" i="1" s="1"/>
  <c r="G246" i="1"/>
  <c r="G226" i="1"/>
  <c r="G180" i="1"/>
  <c r="G204" i="1"/>
  <c r="H226" i="1" l="1"/>
  <c r="J226" i="1" s="1"/>
  <c r="H246" i="1"/>
  <c r="J246" i="1" s="1"/>
  <c r="E205" i="1"/>
  <c r="H204" i="1"/>
  <c r="J204" i="1" s="1"/>
  <c r="H180" i="1"/>
  <c r="J180" i="1" s="1"/>
  <c r="H168" i="1"/>
  <c r="J168" i="1" s="1"/>
  <c r="J13" i="1" l="1"/>
  <c r="J189" i="1" l="1"/>
  <c r="J152" i="1"/>
  <c r="J130" i="1"/>
  <c r="J175" i="1"/>
  <c r="J178" i="1"/>
  <c r="J179" i="1"/>
  <c r="J110" i="1"/>
  <c r="J109" i="1"/>
  <c r="J108" i="1"/>
  <c r="J107" i="1"/>
  <c r="J106" i="1"/>
  <c r="G95" i="1"/>
  <c r="J94" i="1"/>
  <c r="J93" i="1"/>
  <c r="G90" i="1"/>
  <c r="J89" i="1"/>
  <c r="J88" i="1"/>
  <c r="J111" i="1"/>
  <c r="J14" i="1"/>
  <c r="G136" i="1"/>
  <c r="G135" i="1" s="1"/>
  <c r="H135" i="1" s="1"/>
  <c r="J135" i="1" s="1"/>
  <c r="G242" i="1"/>
  <c r="G85" i="1"/>
  <c r="G78" i="1"/>
  <c r="G73" i="1"/>
  <c r="G68" i="1"/>
  <c r="G63" i="1"/>
  <c r="G58" i="1"/>
  <c r="G53" i="1"/>
  <c r="H128" i="1"/>
  <c r="J128" i="1" s="1"/>
  <c r="G245" i="1"/>
  <c r="G121" i="1"/>
  <c r="J243" i="1"/>
  <c r="G241" i="1"/>
  <c r="G237" i="1"/>
  <c r="G216" i="1"/>
  <c r="G213" i="1"/>
  <c r="G201" i="1"/>
  <c r="G202" i="1" s="1"/>
  <c r="H202" i="1" s="1"/>
  <c r="G164" i="1"/>
  <c r="G153" i="1"/>
  <c r="G240" i="1"/>
  <c r="G239" i="1"/>
  <c r="G236" i="1"/>
  <c r="G235" i="1"/>
  <c r="G234" i="1"/>
  <c r="G233" i="1"/>
  <c r="J232" i="1"/>
  <c r="G192" i="1"/>
  <c r="H192" i="1" s="1"/>
  <c r="J210" i="1"/>
  <c r="G211" i="1"/>
  <c r="G212" i="1"/>
  <c r="G214" i="1"/>
  <c r="G215" i="1"/>
  <c r="G219" i="1"/>
  <c r="G220" i="1"/>
  <c r="G221" i="1"/>
  <c r="J187" i="1"/>
  <c r="G188" i="1"/>
  <c r="J146" i="1"/>
  <c r="J147" i="1"/>
  <c r="J148" i="1"/>
  <c r="G149" i="1"/>
  <c r="G150" i="1"/>
  <c r="G151" i="1"/>
  <c r="G156" i="1"/>
  <c r="G155" i="1" s="1"/>
  <c r="G159" i="1"/>
  <c r="G158" i="1" s="1"/>
  <c r="G161" i="1"/>
  <c r="J166" i="1"/>
  <c r="G167" i="1"/>
  <c r="H167" i="1" s="1"/>
  <c r="H129" i="1"/>
  <c r="J129" i="1" s="1"/>
  <c r="G132" i="1"/>
  <c r="H132" i="1" s="1"/>
  <c r="J132" i="1" s="1"/>
  <c r="G134" i="1"/>
  <c r="H134" i="1" s="1"/>
  <c r="J134" i="1" s="1"/>
  <c r="J116" i="1"/>
  <c r="J117" i="1"/>
  <c r="G118" i="1"/>
  <c r="H118" i="1" s="1"/>
  <c r="G119" i="1"/>
  <c r="G120" i="1"/>
  <c r="J99" i="1"/>
  <c r="J100" i="1" s="1"/>
  <c r="J81" i="1"/>
  <c r="J84" i="1"/>
  <c r="J76" i="1"/>
  <c r="J77" i="1"/>
  <c r="J71" i="1"/>
  <c r="J72" i="1"/>
  <c r="J66" i="1"/>
  <c r="J67" i="1"/>
  <c r="J61" i="1"/>
  <c r="J62" i="1"/>
  <c r="J56" i="1"/>
  <c r="J57" i="1"/>
  <c r="J52" i="1"/>
  <c r="G138" i="1"/>
  <c r="H137" i="1"/>
  <c r="J137" i="1" s="1"/>
  <c r="G196" i="1"/>
  <c r="J113" i="1" l="1"/>
  <c r="H216" i="1"/>
  <c r="J216" i="1" s="1"/>
  <c r="H215" i="1"/>
  <c r="J215" i="1" s="1"/>
  <c r="H213" i="1"/>
  <c r="J213" i="1" s="1"/>
  <c r="H214" i="1"/>
  <c r="J214" i="1" s="1"/>
  <c r="J44" i="1"/>
  <c r="J45" i="1" s="1"/>
  <c r="I326" i="1" s="1"/>
  <c r="H220" i="1"/>
  <c r="J220" i="1" s="1"/>
  <c r="H212" i="1"/>
  <c r="J212" i="1" s="1"/>
  <c r="G222" i="1"/>
  <c r="H222" i="1" s="1"/>
  <c r="J222" i="1" s="1"/>
  <c r="H221" i="1"/>
  <c r="H219" i="1"/>
  <c r="J219" i="1" s="1"/>
  <c r="H211" i="1"/>
  <c r="J211" i="1" s="1"/>
  <c r="G169" i="1"/>
  <c r="H169" i="1" s="1"/>
  <c r="J169" i="1" s="1"/>
  <c r="H245" i="1"/>
  <c r="J245" i="1" s="1"/>
  <c r="H240" i="1"/>
  <c r="J240" i="1" s="1"/>
  <c r="H239" i="1"/>
  <c r="J239" i="1" s="1"/>
  <c r="H241" i="1"/>
  <c r="J241" i="1" s="1"/>
  <c r="H236" i="1"/>
  <c r="J236" i="1" s="1"/>
  <c r="H237" i="1"/>
  <c r="J237" i="1" s="1"/>
  <c r="H235" i="1"/>
  <c r="J235" i="1" s="1"/>
  <c r="H234" i="1"/>
  <c r="J234" i="1" s="1"/>
  <c r="H242" i="1"/>
  <c r="J242" i="1" s="1"/>
  <c r="H233" i="1"/>
  <c r="J233" i="1" s="1"/>
  <c r="H201" i="1"/>
  <c r="J201" i="1" s="1"/>
  <c r="H196" i="1"/>
  <c r="J196" i="1" s="1"/>
  <c r="H188" i="1"/>
  <c r="J188" i="1" s="1"/>
  <c r="G162" i="1"/>
  <c r="G163" i="1" s="1"/>
  <c r="H164" i="1"/>
  <c r="J164" i="1" s="1"/>
  <c r="H151" i="1"/>
  <c r="J151" i="1" s="1"/>
  <c r="H161" i="1"/>
  <c r="J161" i="1" s="1"/>
  <c r="H160" i="1"/>
  <c r="J160" i="1" s="1"/>
  <c r="H157" i="1"/>
  <c r="J157" i="1" s="1"/>
  <c r="H150" i="1"/>
  <c r="J150" i="1" s="1"/>
  <c r="H154" i="1"/>
  <c r="J154" i="1" s="1"/>
  <c r="H149" i="1"/>
  <c r="J149" i="1" s="1"/>
  <c r="H153" i="1"/>
  <c r="J153" i="1" s="1"/>
  <c r="H156" i="1"/>
  <c r="J156" i="1" s="1"/>
  <c r="H159" i="1"/>
  <c r="J159" i="1" s="1"/>
  <c r="H121" i="1"/>
  <c r="J121" i="1" s="1"/>
  <c r="H119" i="1"/>
  <c r="J119" i="1" s="1"/>
  <c r="H120" i="1"/>
  <c r="J120" i="1" s="1"/>
  <c r="H73" i="1"/>
  <c r="J73" i="1" s="1"/>
  <c r="J74" i="1" s="1"/>
  <c r="H68" i="1"/>
  <c r="J68" i="1" s="1"/>
  <c r="J69" i="1" s="1"/>
  <c r="H90" i="1"/>
  <c r="J90" i="1" s="1"/>
  <c r="J91" i="1" s="1"/>
  <c r="H53" i="1"/>
  <c r="J53" i="1" s="1"/>
  <c r="J54" i="1" s="1"/>
  <c r="H78" i="1"/>
  <c r="J78" i="1" s="1"/>
  <c r="J79" i="1" s="1"/>
  <c r="H63" i="1"/>
  <c r="J63" i="1" s="1"/>
  <c r="J64" i="1" s="1"/>
  <c r="H58" i="1"/>
  <c r="J58" i="1" s="1"/>
  <c r="J59" i="1" s="1"/>
  <c r="H85" i="1"/>
  <c r="J85" i="1" s="1"/>
  <c r="J86" i="1" s="1"/>
  <c r="H95" i="1"/>
  <c r="J95" i="1" s="1"/>
  <c r="J96" i="1" s="1"/>
  <c r="H138" i="1"/>
  <c r="J138" i="1" s="1"/>
  <c r="J167" i="1"/>
  <c r="J238" i="1"/>
  <c r="J247" i="1"/>
  <c r="J217" i="1"/>
  <c r="J118" i="1"/>
  <c r="G139" i="1"/>
  <c r="H139" i="1" s="1"/>
  <c r="J139" i="1" s="1"/>
  <c r="G224" i="1"/>
  <c r="G197" i="1"/>
  <c r="J145" i="1"/>
  <c r="G198" i="1"/>
  <c r="G165" i="1"/>
  <c r="H136" i="1"/>
  <c r="J136" i="1" s="1"/>
  <c r="G218" i="1"/>
  <c r="J221" i="1"/>
  <c r="G225" i="1"/>
  <c r="H127" i="1"/>
  <c r="J127" i="1" s="1"/>
  <c r="J115" i="1"/>
  <c r="G191" i="1"/>
  <c r="J192" i="1"/>
  <c r="G244" i="1"/>
  <c r="G195" i="1"/>
  <c r="G199" i="1"/>
  <c r="H199" i="1" s="1"/>
  <c r="G131" i="1"/>
  <c r="H131" i="1" s="1"/>
  <c r="J131" i="1" s="1"/>
  <c r="G194" i="1"/>
  <c r="H194" i="1" s="1"/>
  <c r="G203" i="1"/>
  <c r="G133" i="1"/>
  <c r="H133" i="1" s="1"/>
  <c r="J133" i="1" s="1"/>
  <c r="J123" i="1" l="1"/>
  <c r="J326" i="1"/>
  <c r="J101" i="1"/>
  <c r="H218" i="1"/>
  <c r="J218" i="1" s="1"/>
  <c r="H225" i="1"/>
  <c r="J225" i="1" s="1"/>
  <c r="G223" i="1"/>
  <c r="H224" i="1"/>
  <c r="J224" i="1" s="1"/>
  <c r="H244" i="1"/>
  <c r="J244" i="1" s="1"/>
  <c r="J248" i="1" s="1"/>
  <c r="H195" i="1"/>
  <c r="J195" i="1" s="1"/>
  <c r="H197" i="1"/>
  <c r="J197" i="1" s="1"/>
  <c r="H203" i="1"/>
  <c r="J203" i="1" s="1"/>
  <c r="H191" i="1"/>
  <c r="J191" i="1" s="1"/>
  <c r="H198" i="1"/>
  <c r="J198" i="1" s="1"/>
  <c r="H162" i="1"/>
  <c r="J162" i="1" s="1"/>
  <c r="H165" i="1"/>
  <c r="J165" i="1" s="1"/>
  <c r="H163" i="1"/>
  <c r="J163" i="1" s="1"/>
  <c r="H155" i="1"/>
  <c r="J155" i="1" s="1"/>
  <c r="H158" i="1"/>
  <c r="J158" i="1" s="1"/>
  <c r="G227" i="1"/>
  <c r="G170" i="1"/>
  <c r="J202" i="1"/>
  <c r="G140" i="1"/>
  <c r="H140" i="1" s="1"/>
  <c r="J140" i="1" s="1"/>
  <c r="J141" i="1" s="1"/>
  <c r="J186" i="1"/>
  <c r="J190" i="1"/>
  <c r="J177" i="1"/>
  <c r="J176" i="1"/>
  <c r="G200" i="1"/>
  <c r="J199" i="1"/>
  <c r="G193" i="1"/>
  <c r="J194" i="1"/>
  <c r="H227" i="1" l="1"/>
  <c r="J227" i="1" s="1"/>
  <c r="H223" i="1"/>
  <c r="J223" i="1" s="1"/>
  <c r="I327" i="1"/>
  <c r="N331" i="1" s="1"/>
  <c r="O331" i="1" s="1"/>
  <c r="H200" i="1"/>
  <c r="J200" i="1" s="1"/>
  <c r="H193" i="1"/>
  <c r="J193" i="1" s="1"/>
  <c r="J181" i="1"/>
  <c r="M335" i="1" s="1"/>
  <c r="H170" i="1"/>
  <c r="J170" i="1" s="1"/>
  <c r="J171" i="1" s="1"/>
  <c r="G205" i="1"/>
  <c r="J228" i="1" l="1"/>
  <c r="M333" i="1" s="1"/>
  <c r="J327" i="1"/>
  <c r="H205" i="1"/>
  <c r="J205" i="1" s="1"/>
  <c r="J206" i="1" s="1"/>
  <c r="M332" i="1" s="1"/>
  <c r="J249" i="1" l="1"/>
  <c r="I328" i="1" s="1"/>
  <c r="G255" i="1"/>
  <c r="H255" i="1" s="1"/>
  <c r="J255" i="1" s="1"/>
  <c r="J280" i="1" s="1"/>
  <c r="I329" i="1" s="1"/>
  <c r="M334" i="1" s="1"/>
  <c r="J284" i="1"/>
  <c r="J289" i="1"/>
  <c r="J288" i="1"/>
  <c r="J287" i="1"/>
  <c r="J285" i="1"/>
  <c r="J290" i="1"/>
  <c r="J286" i="1"/>
  <c r="J328" i="1" l="1"/>
  <c r="M331" i="1"/>
  <c r="J295" i="1"/>
  <c r="I330" i="1" s="1"/>
  <c r="J331" i="1"/>
  <c r="J330" i="1" l="1"/>
  <c r="M336" i="1"/>
  <c r="I333" i="1"/>
  <c r="J333" i="1" s="1"/>
  <c r="M330" i="1"/>
  <c r="J332" i="1"/>
  <c r="J329" i="1"/>
</calcChain>
</file>

<file path=xl/sharedStrings.xml><?xml version="1.0" encoding="utf-8"?>
<sst xmlns="http://schemas.openxmlformats.org/spreadsheetml/2006/main" count="894" uniqueCount="386">
  <si>
    <t>Náklady za rostlinný materiál</t>
  </si>
  <si>
    <t>latinský název</t>
  </si>
  <si>
    <t>český název</t>
  </si>
  <si>
    <t>výsadbová velikost</t>
  </si>
  <si>
    <t>cena za kus</t>
  </si>
  <si>
    <t xml:space="preserve">Stromy alejového typu s balem </t>
  </si>
  <si>
    <t xml:space="preserve">Stromy alejového typu s balem – celkem </t>
  </si>
  <si>
    <t>levandule lékařská</t>
  </si>
  <si>
    <t xml:space="preserve">název </t>
  </si>
  <si>
    <t>celkem</t>
  </si>
  <si>
    <t>ks</t>
  </si>
  <si>
    <t>m2</t>
  </si>
  <si>
    <t>m3</t>
  </si>
  <si>
    <t xml:space="preserve">Příprava záhonů </t>
  </si>
  <si>
    <t xml:space="preserve">Příprava záhonů – celkem </t>
  </si>
  <si>
    <t>kg</t>
  </si>
  <si>
    <t>Výsadba alejového stromu s balem</t>
  </si>
  <si>
    <t xml:space="preserve">Založení trávníku zahradnickým způsobem včetně ceny osiva a první seče </t>
  </si>
  <si>
    <t xml:space="preserve">Založení trávníku zahradnickým způsobem včetně ceny osiva – celkem </t>
  </si>
  <si>
    <t>Výsadba živého plotu</t>
  </si>
  <si>
    <t>Hnojení půdy nebo trávníku v rovině nebo ve svahu 1:5 umělým hnojivem na široko</t>
  </si>
  <si>
    <t>t</t>
  </si>
  <si>
    <t>Položení mulčovací textílie proti prorůstnání plevelů kolem vysázených rostlin v rovině nebo na svahu 1:5</t>
  </si>
  <si>
    <t>Mulčování vysazených rostlin mulčovací kůrou, tloušťky do 100 mm na rovině nebo svahu do 1:5</t>
  </si>
  <si>
    <t>Zhotovení obalu kmene z rákosové nebo kokosové rohože v jedné vrstvě v rovině nebo na svahu do 1:5</t>
  </si>
  <si>
    <t>R</t>
  </si>
  <si>
    <t>specifikace</t>
  </si>
  <si>
    <t>184 91-1421</t>
  </si>
  <si>
    <t>184 50-1141</t>
  </si>
  <si>
    <t>185 80-2113</t>
  </si>
  <si>
    <t>Chemické odplevelení půdy před založením kultury, trávníku nebo zpevněných ploch o výměře přes 20 m2 v rovině nebo na svahu 1:5 postřikem na široko</t>
  </si>
  <si>
    <t>183 40-3153</t>
  </si>
  <si>
    <t>Odstranění nevhodných dřevin průměru kmene do 100 mm</t>
  </si>
  <si>
    <t xml:space="preserve">Odstranění nevhodných dřevin průměru kmene do 100 mm – celkem </t>
  </si>
  <si>
    <t>184 91-1311</t>
  </si>
  <si>
    <t>112 20-1111</t>
  </si>
  <si>
    <t>112 20-1112</t>
  </si>
  <si>
    <t>112 20-1113</t>
  </si>
  <si>
    <t>112 20-1115</t>
  </si>
  <si>
    <t xml:space="preserve">Nekontejnerované keře </t>
  </si>
  <si>
    <t>185 80-2114</t>
  </si>
  <si>
    <t>Hnojení půdy nebo trávníku v rovině nebo ve svahu 1:5 umělým hnojivem s rozdělením k jednotlivým rostlinám</t>
  </si>
  <si>
    <t>l</t>
  </si>
  <si>
    <t>183 10-1213</t>
  </si>
  <si>
    <t>Hloubení jamek pro vysazování rostlin v zemině 1 až 4 s výměnou půdy na 50 % v rovině nebo na svahu do 1:5, objemu přes 0,02 m3 do 0,05 m3</t>
  </si>
  <si>
    <t>184 21-5132</t>
  </si>
  <si>
    <t>Ukotvení dřeviny třemi kůly, délky přes 1 do 2 m průměru do 100 mm</t>
  </si>
  <si>
    <t>R E K A P I T U L A C E</t>
  </si>
  <si>
    <t>184 80-2111</t>
  </si>
  <si>
    <t>Dodání kůlů délky 2500 mm, průměru 60 mm (3 ks k jedné dřevině), vč. ceny dopravy materiálu</t>
  </si>
  <si>
    <t>Dodání příčníků délky 500 mm, průměru 60 mm (3 ks k jedné dřevině), vč. ceny dopravy materiálu</t>
  </si>
  <si>
    <t>Dodání úvazku (3 ks k jedné dřevině) , vč. ceny dopravy materiálu</t>
  </si>
  <si>
    <t>Dodávka kokosové rohože na zhotovení obalu kmene, vč. ceny dopravy materiálu</t>
  </si>
  <si>
    <t>112 20-1114</t>
  </si>
  <si>
    <t>Výsadba živého plotu - celkem</t>
  </si>
  <si>
    <t xml:space="preserve">Výsadba kontejnerového keře </t>
  </si>
  <si>
    <t>184 21-5412</t>
  </si>
  <si>
    <t>Zhotovení závlahové mísy u soliterních dřevin v rovině nebo na svahu do 1:5, o průměru mísy přes 0,5 do 1 m</t>
  </si>
  <si>
    <t xml:space="preserve">Výsadba dřeviny s balem do předem vyhloubené jamky se zalitím v rovině nebo na svahu do 1:5, při průměru balu přes 200 do 300 mm </t>
  </si>
  <si>
    <t>184 10-2112</t>
  </si>
  <si>
    <t>Dodávka mulčovací textílie proti prorůstnání plevelů + 5 % překrytí, vč. ceny dopravy materiálu</t>
  </si>
  <si>
    <t>111 15-1121</t>
  </si>
  <si>
    <t>111 11-1411</t>
  </si>
  <si>
    <t xml:space="preserve">Obdělávání půdy hrabáním v rovině  nebo na svahu do 1:5 </t>
  </si>
  <si>
    <t>112 20-1117</t>
  </si>
  <si>
    <t>Odstranění pařezu o průměru 800 - 900 mm do hloubky min. 30 cm , vč. likvidace vytěženého odpadu</t>
  </si>
  <si>
    <t>112 20-1116</t>
  </si>
  <si>
    <t>112 20-1118</t>
  </si>
  <si>
    <t>Hloubení jamek pro vysazování rostlin v zemině 1 až 4 s výměnou půdy na 50 % v rovině nebo na svahu do 1:5, objemu přes 0,01 do 0,02 m3</t>
  </si>
  <si>
    <t>184 10-2111</t>
  </si>
  <si>
    <t>Výsadba dřeviny s balem do předem vyhloubené jamky se zalitím v rovině nebo na svahu do 1:5, při průměru balu přes  100 mm do 200 mm</t>
  </si>
  <si>
    <t>Hloubení jamek pro vysazování rostlin v zemině 1 až 4 s výměnou půdy na 50 % na svahu  přes 1:2 do 1:1, objemu přes 0,01 m3 do 0,02 m3</t>
  </si>
  <si>
    <t>184 10-2131</t>
  </si>
  <si>
    <t xml:space="preserve">Výsadba dřeviny s balem do předem vyhloubené jamky se zalitím na svahu přes 1:2 do 1:1, při průměru balu přes 100 do 200 mm </t>
  </si>
  <si>
    <t>184 91-1313</t>
  </si>
  <si>
    <t>Položení mulčovací textílie proti prorůstnání plevelů kolem vysázených rostlin na svahu přes 1:2 do 1:1</t>
  </si>
  <si>
    <t>182 11-1111</t>
  </si>
  <si>
    <t>Zpevnění svahu jutovou, kokosovou nebo plastovou rohoží na svahu přes 1:2 do 1:1</t>
  </si>
  <si>
    <t>Chemické odplevelení půdy před založením kultury, trávníku nebo zpevněných ploch o výměře přes 20 m2 na svahu přes 1:2 do 1:1 postřikem na široko</t>
  </si>
  <si>
    <t>181 11-4711</t>
  </si>
  <si>
    <t>183 40-3114</t>
  </si>
  <si>
    <t>Obdělání půdy kultivátorováním, v rovině nebo na svahu do 1:5</t>
  </si>
  <si>
    <t xml:space="preserve">Dovoz materiálu do 20 km na místo </t>
  </si>
  <si>
    <t>181 11-1111</t>
  </si>
  <si>
    <t>Plošná úprava terénu v zemině tř. 1 až 4 s urovnáním povrchu bez doplnění ornice souvislé plochy do 500 m2 při nerovnostech terénu přes +/- 50 do +/- 100 mm v rovině nebo ve svahu do 1:5</t>
  </si>
  <si>
    <t>181 30-1101</t>
  </si>
  <si>
    <t>Rozprostření a urovnání ornice v rovině nebo  ve svahu sklonu do 1:5, do 500 m2, tl. vrstvy do 100 mm</t>
  </si>
  <si>
    <t>Pokosení trávníku při souvislé ploše do 1 000 m2 parkového v rovině nebo svahu do 1:5, 3x</t>
  </si>
  <si>
    <t>111 11-1414</t>
  </si>
  <si>
    <t>Odstranění stařiny ze souvislé plochy do 100 m2 ve svahu přes 1:1</t>
  </si>
  <si>
    <t>Odstranění stařiny ze souvislé plochy do 100 m2 v rovině nebo ve svahu do 1:5</t>
  </si>
  <si>
    <t>Dodávka totální herbicid např. Roundup 0,0008 l, vč. ceny dopravy materiálu</t>
  </si>
  <si>
    <t>Dodávka mulčovací kůry tl. vrstvy 0,1 m, vč. ceny dopravy materiálu</t>
  </si>
  <si>
    <t xml:space="preserve">Dodání travního osiva (Parková směs) při výsevku 250 kg/ha </t>
  </si>
  <si>
    <t>Trávníkové hnojivo 30 g/m2, vč. ceny dopravy materiálu</t>
  </si>
  <si>
    <t>Pěstební substrát 0,01 m3 / 1 ks, včetně ceny dopravy materiálu</t>
  </si>
  <si>
    <t>Pěstební substrát  0,025 m3 / 1 ks, včetně ceny dopravy materiálu</t>
  </si>
  <si>
    <t xml:space="preserve">Nižší keře a půdopokryvné rostliny </t>
  </si>
  <si>
    <t>Dodávka kokosové rohože 540 g/m2, + 5 % překrytí, včetně trnů na záhony ve svazích přes 1:2 do 1:1, vč. ceny dopravy materiálu</t>
  </si>
  <si>
    <t xml:space="preserve">Nekontejnerované keře na živé ploty – celkem </t>
  </si>
  <si>
    <t>počet kusů</t>
  </si>
  <si>
    <t>cena celkem bez DPH</t>
  </si>
  <si>
    <t>Odstranění pařezu o průměru 900 - 1000 mm do hloubky min. 30 cm , vč. likvidace vytěženého odpadu</t>
  </si>
  <si>
    <t>Kácení stromu v intravilánu, průměr kmene 500 – 600 mm – celkem</t>
  </si>
  <si>
    <t>112 15-1111</t>
  </si>
  <si>
    <t>Pokácení stromu směrové v celku (v rovině nebo svahu do 1:5)  do 200 mm průměru kmene, vč. odvozu dřevní hmoty</t>
  </si>
  <si>
    <t>Kácení stromů směrové v celku s odřezáním kmene a s odvětvením</t>
  </si>
  <si>
    <t>Pokácení stromu směrové v celku (v rovině nebo svahu do 1:5)  200 - 300 mm, vč. odvozu dřevní hmoty</t>
  </si>
  <si>
    <t>Pokácení stromu směrové v celku (v rovině nebo svahu do 1:5)  300 - 400 mm, vč. odvozu dřevní hmoty</t>
  </si>
  <si>
    <t>Pokácení stromu směrové v celku (v rovině nebo svahu do 1:5)  400 - 500 mm, vč. odvozu dřevní hmoty</t>
  </si>
  <si>
    <t>Pokácení stromu směrové v celku (v rovině nebo svahu do 1:5)  500 - 600 mm, vč. odvozu dřevní hmoty</t>
  </si>
  <si>
    <t>Pokácení stromu směrové v celku (v rovině nebo svahu do 1:5)  600 - 700 mm, vč. odvozu dřevní hmoty</t>
  </si>
  <si>
    <t>Pokácení stromu směrové v celku (v rovině nebo svahu do 1:5)  700 - 800 mm, vč. odvozu dřevní hmoty</t>
  </si>
  <si>
    <t>112 15-1112</t>
  </si>
  <si>
    <t>112 15-1113</t>
  </si>
  <si>
    <t>112 15-1114</t>
  </si>
  <si>
    <t>112 15-1115</t>
  </si>
  <si>
    <t>112 15-1116</t>
  </si>
  <si>
    <t>112 15-1117</t>
  </si>
  <si>
    <t>112 20-1119</t>
  </si>
  <si>
    <t>do 30 m2</t>
  </si>
  <si>
    <t>přes 60 do 90 m2</t>
  </si>
  <si>
    <t>přes 90 do 120 m2</t>
  </si>
  <si>
    <t>přes 150 do 180 m2</t>
  </si>
  <si>
    <t xml:space="preserve">Řez zdravotní  – celkem </t>
  </si>
  <si>
    <t>184 85-2211</t>
  </si>
  <si>
    <t>184 85-2213</t>
  </si>
  <si>
    <t>184 85-2214</t>
  </si>
  <si>
    <t>184 85-2216</t>
  </si>
  <si>
    <t>183 11-1214</t>
  </si>
  <si>
    <t>184 80-2311</t>
  </si>
  <si>
    <t>Odstranění nevhodných dřevin průměru kmene do 100 mm výšky přes 1 m s odstraněním pařezu přes 100 do 500 m2 v rovině nebo na svahu do 1:5 včetně likvidace dřevní hmoty, naložení, odvezení a skládkování</t>
  </si>
  <si>
    <t>Založení trávníku na půdě předem připravené plochy do 1000 m2 výsevem včetně utažení parkového v rovině nebo na svahu do 1:5</t>
  </si>
  <si>
    <t>181 41-1131</t>
  </si>
  <si>
    <t>184 10-2211</t>
  </si>
  <si>
    <t>m</t>
  </si>
  <si>
    <t>Výsadba keře bez balu do předem vyhloubené jamky se zalitím v rovině nebo na svahu do 1:5 výšky do 1m v terénu</t>
  </si>
  <si>
    <t>* Hnojení půdy nebo trávníku v rovině nebo ve svahu 1:5 umělým hnojivem s rozdělením k jednotlivým rostlinám</t>
  </si>
  <si>
    <t>** Hnojení půdy nebo trávníku v rovině nebo ve svahu 1:5 umělým hnojivem s rozdělením k jednotlivým rostlinám</t>
  </si>
  <si>
    <t>Tabletové hnojivo s obsahem ureaformu hořčíku a stopových prvků  vč. Dodávky (1 ks tablet / keř), vč. ceny dopravy materiálu</t>
  </si>
  <si>
    <t>Hnojení tabletovým hnojivem s obsahem ureaformu hořčíku a stopových prvků  vč. Dodávky (1 ks tablet / nižší keř nebo půdopokryvná rostlina), vč. ceny dopravy materiálu</t>
  </si>
  <si>
    <t>Hnojení tabletovým hnojivem s obsahem ureaformu hořčíku a stopových prvků  vč. Dodávky (3 ks tablet / vyšší keř), vč. ceny dopravy materiálu</t>
  </si>
  <si>
    <t>Hnojení tabletovým hnojivem s obsahem ureaformu hořčíku a stopových prvků  vč. Dodávky (5 ks tablet / strom), vč. ceny dopravy materiálu</t>
  </si>
  <si>
    <t>Absorbční prostředek - práškový koncentrát  v dávce 10 g ke každé rostlině kontejnerovaného keře malého, vč. ceny dopravy materiálu</t>
  </si>
  <si>
    <t>Absorbční prostředek - práškový koncentrát  v dávce 10 g ke každému nižšímu keři nebo  půdopokryvné rostlině, vč. ceny dopravy materiálu</t>
  </si>
  <si>
    <t>Absorbční prostředek - práškový koncentrát  v dávce 20 g ke každému vyššímu keři, vč. ceny dopravy materiálu</t>
  </si>
  <si>
    <t>Absorbční prostředek - práškový koncentrát  v dávce 100 g ke každému stromu</t>
  </si>
  <si>
    <t>* Hnojení půdy pro rozpustné hnojivo s obsahem ureaformu hořčíku a stopových prvků</t>
  </si>
  <si>
    <t>** Hnojení půdy pro absorpční prostředek</t>
  </si>
  <si>
    <t>Dodávka totální herbicid v dávce  0,0008 l/m2 , vč. ceny dopravy materiálu</t>
  </si>
  <si>
    <t>Dodávka mulčovací kůry vrstva mulče 0,10 m, vč. ceny dopravy materiálu</t>
  </si>
  <si>
    <t>pozn.: u každé dřeviny bude individuálně posouzen rozsah navrhovaného zásahu</t>
  </si>
  <si>
    <t>185 80-3111</t>
  </si>
  <si>
    <t xml:space="preserve">Ošetření trávníku jednorázově v rovině nebo na svahu do 1:5 (odplevelovací seč na vysoko s odstraněním posečené hmoty) </t>
  </si>
  <si>
    <t xml:space="preserve">Založení květnaté louky zahradnickým způsobem včetně ceny osiva – celkem </t>
  </si>
  <si>
    <t xml:space="preserve">Založení květnaté louky zahradnickým způsobem včetně ceny osiva a první seče </t>
  </si>
  <si>
    <t>Vytyčení rozmístění rostlin na záhony</t>
  </si>
  <si>
    <t>Vytyčení výsadeb stromů</t>
  </si>
  <si>
    <t xml:space="preserve">VRN (zařízení staveniště, práce na kulturních památkách, nezbytné geodetické práce, Vytyčení inženýrských sítí apod.) </t>
  </si>
  <si>
    <r>
      <t xml:space="preserve">Dodávka mulčovací textílie proti prorůstnání plevelů </t>
    </r>
    <r>
      <rPr>
        <sz val="10"/>
        <rFont val="Arial"/>
        <family val="2"/>
        <charset val="238"/>
      </rPr>
      <t xml:space="preserve">+ 5 % </t>
    </r>
    <r>
      <rPr>
        <sz val="10"/>
        <color indexed="8"/>
        <rFont val="Arial"/>
        <family val="2"/>
        <charset val="238"/>
      </rPr>
      <t>překrytí, vč. ceny dopravy materiálu</t>
    </r>
  </si>
  <si>
    <t>Odstranění kamene z pozemku sebráním kamene, hmotnosti jednotlivě do 15 kg</t>
  </si>
  <si>
    <t>Založení trávníku na půdě předem připravené plochy do 1000 m2 výsevem včetně utažení lučního v rovině nebo na svahu do 1:5</t>
  </si>
  <si>
    <t>181 41 - 1121</t>
  </si>
  <si>
    <t>184 80-2631</t>
  </si>
  <si>
    <t>*** Aplikace přípravku pro zpevnění půdy</t>
  </si>
  <si>
    <t>Vytyčení záhonů v prostoru</t>
  </si>
  <si>
    <t>Pokosení trávníku při souvislé ploše do 1 000 m2 lučního v rovině nebo svahu do 1:5</t>
  </si>
  <si>
    <t>111 15-1131</t>
  </si>
  <si>
    <t>Odstranění pařezu o průměru do 200 mm do hloubky min. 30 cm   průměru kmene, vč. likvidace vytěženého odpadu a doplnění zeminy</t>
  </si>
  <si>
    <t>Odstranění pařezu o průměru 200 - 300 mm do hloubky min. 30 cm, vč. likvidace vytěženého odpadu a doplnění zeminy</t>
  </si>
  <si>
    <t>Odstranění pařezu o průměru 300 - 400 mm do hloubky min. 30 cm , vč. likvidace vytěženého odpadu a doplnění zeminy</t>
  </si>
  <si>
    <t>Odstranění pařezu o průměru 400 - 500 mm do hloubky min. 30 cm , vč. likvidace vytěženého odpadu a doplnění zeminy</t>
  </si>
  <si>
    <t>Odstranění pařezu o průměru 500 - 600 mm do hloubky min. 30 cm , vč. likvidace vytěženého odpadu a doplnění zeminy</t>
  </si>
  <si>
    <t>Odstranění pařezu o průměru 600 - 700 mm do hloubky min. 30 cm , vč. likvidace vytěženého odpadu a doplnění zeminy</t>
  </si>
  <si>
    <t>Odstranění pařezu o průměru  700 - 800 mm do hloubky min. 30 cm, vč. likvidace vytěženého odpadu a doplnění zeminy</t>
  </si>
  <si>
    <t>Plošná úprava pláně a válcování</t>
  </si>
  <si>
    <t>Výkop lože pro komunikaci do hloubky 400 mm</t>
  </si>
  <si>
    <t>Dodávka tříděné zeminy bonity I. včetně dopravy</t>
  </si>
  <si>
    <t>Štěpkování získané dřevní hmoty</t>
  </si>
  <si>
    <t>112 15-1118</t>
  </si>
  <si>
    <t>Pokácení stromu směrové v celku (v rovině nebo svahu do 1:5)  800 - 900 mm, vč. odvozu dřevní hmoty</t>
  </si>
  <si>
    <t>112 15-1119</t>
  </si>
  <si>
    <t>Pokácení stromu směrové v celku (v rovině nebo svahu do 1:5)  900 - 1000 mm, vč. odvozu dřevní hmoty</t>
  </si>
  <si>
    <t>přes 120 do 150 m2</t>
  </si>
  <si>
    <t>184 85-2215</t>
  </si>
  <si>
    <t>Nižší keře a půdopokryvné rostliny - celkem</t>
  </si>
  <si>
    <t>m.j.</t>
  </si>
  <si>
    <t>Náklady za práce - kácení dřevin</t>
  </si>
  <si>
    <t>Náklady za práce - kácení dřevin – celkem</t>
  </si>
  <si>
    <t>bez DPH</t>
  </si>
  <si>
    <t>s DPH</t>
  </si>
  <si>
    <t>Rostlinný materiál</t>
  </si>
  <si>
    <t>Náklady za práce - sadové úpravy</t>
  </si>
  <si>
    <t xml:space="preserve">Celková cena </t>
  </si>
  <si>
    <t>Odvoz dřevní hmoty na místo určené obcí ke skladování</t>
  </si>
  <si>
    <t>Kácení stromu, průměr kmene 100 - 200 mm</t>
  </si>
  <si>
    <t>Kácení stromu, průměr kmene 200 – 300 mm</t>
  </si>
  <si>
    <t>Kácení stromu, průměr kmene 300 – 400 mm</t>
  </si>
  <si>
    <t>Kácení stromu, průměr kmene 400 – 500 mm</t>
  </si>
  <si>
    <t>Kácení stromu, průměr kmene 500 – 600 mm</t>
  </si>
  <si>
    <t>Kácení stromu, průměr kmene 600 - 700 mm</t>
  </si>
  <si>
    <t>Kácení stromu, průměr kmene 700 - 800 mm</t>
  </si>
  <si>
    <t>Kácení stromu, průměr kmene 800 – 900 mm</t>
  </si>
  <si>
    <t>Kácení stromu, průměr kmene 900 – 1000 mm</t>
  </si>
  <si>
    <t>Kácení stromu, průměr kmene 100 - 200 mm – celkem</t>
  </si>
  <si>
    <t>Kácení stromu, průměr kmene 200 – 300 mm – celkem</t>
  </si>
  <si>
    <t>Kácení stromu, průměr kmene 300 – 400 mm – celkem</t>
  </si>
  <si>
    <t>Kácení stromu, průměr kmene 400 – 500 mm – celkem</t>
  </si>
  <si>
    <t>Kácení stromu, průměr kmene 600 - 700 mm – celkem</t>
  </si>
  <si>
    <t>Kácení stromu, průměr kmene 700 - 800 mm – celkem</t>
  </si>
  <si>
    <t>Kácení stromu, průměr kmene 800 – 900 mm – celkem</t>
  </si>
  <si>
    <t>Kácení stromu, průměr kmene 900 – 1000 mm – celkem</t>
  </si>
  <si>
    <t>Výsadba květin</t>
  </si>
  <si>
    <t>183 21-1312</t>
  </si>
  <si>
    <t>Výsadba květin do připravené půdy se zalitím, trvalek</t>
  </si>
  <si>
    <t>Výsadba květin - celkem</t>
  </si>
  <si>
    <t>Dodávka mulčovací kůry tl. vrstvy 0,1 m, vč. dopravy</t>
  </si>
  <si>
    <t>185 85-1121</t>
  </si>
  <si>
    <t>183 11-5214</t>
  </si>
  <si>
    <t>Vyšší keře</t>
  </si>
  <si>
    <t>Vyšší keře - celkem</t>
  </si>
  <si>
    <t>Trvalky a traviny</t>
  </si>
  <si>
    <t>Trvalky a traviny - celkem</t>
  </si>
  <si>
    <t>Ošetření vysazených dřevin solitérních v rovině nebo na svahu do 1:5</t>
  </si>
  <si>
    <t>184 80-1121</t>
  </si>
  <si>
    <t>Ošetření vysazených dřevin ve skupinách v rovině nebo na svahu do 1:5</t>
  </si>
  <si>
    <t>184 80-1131</t>
  </si>
  <si>
    <t>184 80-1133</t>
  </si>
  <si>
    <t>Ošetření vysazených dřevin ve skupinách na svahu přes 1:2 do 1:1</t>
  </si>
  <si>
    <t>183 10-1221</t>
  </si>
  <si>
    <t>Hloubení jamek pro vysazování rostlin v zemině 1 až 4 s výměnou půdy na 50 % v rovině nebo na svahu do 1:5, objemu přes 0,40 m3 do 1,00 m3</t>
  </si>
  <si>
    <t>Výsadba dřeviny s balem do předem vyhloubené jamky se zalitím v rovině nebo ve svahu 1:5 při průměru balu přes 400 do 500 mm</t>
  </si>
  <si>
    <t>184 10-2114</t>
  </si>
  <si>
    <t>Pěstební substrát 0,5 m3 / 1 ks, včetně ceny dopravy materiálu</t>
  </si>
  <si>
    <t>Uložení biologického materiálu na skládku a skládkovné</t>
  </si>
  <si>
    <t>Přesun hmot pro sadovnické a krajinářské účely - strojně dopravní vzdálenost do 5000 m</t>
  </si>
  <si>
    <t>998 23-1311</t>
  </si>
  <si>
    <t>Povýsadbový řez vysazených stromů vč. Likvidace odpadu</t>
  </si>
  <si>
    <t>Doprava rostlinného materiálu</t>
  </si>
  <si>
    <t>kpl</t>
  </si>
  <si>
    <t>Výsadba kontejnerového keře – celkem</t>
  </si>
  <si>
    <t>Osazení obruby z ocelové pásoviny tl. 5 mm</t>
  </si>
  <si>
    <t>Obruba z ocelové pásoviny tl. 5 mm, včetně kotvících prvků a dopravy</t>
  </si>
  <si>
    <t>Travní osivo (směs do stínu) při výsevku 10-12 g / 1 m2</t>
  </si>
  <si>
    <t>Náves</t>
  </si>
  <si>
    <t>U rybníka</t>
  </si>
  <si>
    <t>Škola</t>
  </si>
  <si>
    <t xml:space="preserve">Acer campestre </t>
  </si>
  <si>
    <t>javor babyka</t>
  </si>
  <si>
    <t>12-14</t>
  </si>
  <si>
    <t xml:space="preserve">Acer platanoides </t>
  </si>
  <si>
    <t>javor mléčný</t>
  </si>
  <si>
    <t xml:space="preserve">Crataegus monogyna </t>
  </si>
  <si>
    <t>hloh jednosemenný</t>
  </si>
  <si>
    <t xml:space="preserve">Prunus cerasus 'Plena' </t>
  </si>
  <si>
    <t>višeň obecná</t>
  </si>
  <si>
    <t xml:space="preserve">Quercus robur </t>
  </si>
  <si>
    <t>dub letní</t>
  </si>
  <si>
    <t xml:space="preserve">Carpinus betulus - živý plot </t>
  </si>
  <si>
    <t>habr obecný</t>
  </si>
  <si>
    <t>60-80</t>
  </si>
  <si>
    <t>Buddleia davidii</t>
  </si>
  <si>
    <t>komule Davidova</t>
  </si>
  <si>
    <t>Forsythia x intermedia</t>
  </si>
  <si>
    <t>zlatice prostřední</t>
  </si>
  <si>
    <t>40-60</t>
  </si>
  <si>
    <t>Ribes 1</t>
  </si>
  <si>
    <t>rybíz (červenoplodé odrůdy)</t>
  </si>
  <si>
    <t>Ribes 1a</t>
  </si>
  <si>
    <t>rybíz (červenoplodé odrůdy stromkové)</t>
  </si>
  <si>
    <t>Syringa vulgaris</t>
  </si>
  <si>
    <t>šeřík obecný</t>
  </si>
  <si>
    <t>Caryopteris x clandonensis</t>
  </si>
  <si>
    <t>ořechokřídlec clandonský</t>
  </si>
  <si>
    <t>20-30</t>
  </si>
  <si>
    <t>Hypericum calycinum</t>
  </si>
  <si>
    <t>třezalka kalíškatá</t>
  </si>
  <si>
    <t xml:space="preserve">Potentilla fruticosa </t>
  </si>
  <si>
    <t>mochna křovitá</t>
  </si>
  <si>
    <t>Potentilla fruticosa 'Kobold'</t>
  </si>
  <si>
    <t>Spiraea japonica 'Golden Princess'</t>
  </si>
  <si>
    <t>tavolník japonský</t>
  </si>
  <si>
    <t>Spiraea x bumalda 'Anthony Waterer'</t>
  </si>
  <si>
    <t>tavolník nízký</t>
  </si>
  <si>
    <t>Hedera helix</t>
  </si>
  <si>
    <t>břečťan popínavý</t>
  </si>
  <si>
    <t>C10</t>
  </si>
  <si>
    <t>Aster dumosus</t>
  </si>
  <si>
    <t>hvězdnice hustokvětá</t>
  </si>
  <si>
    <t>K9</t>
  </si>
  <si>
    <t xml:space="preserve">Doronicum caucasicum </t>
  </si>
  <si>
    <t>kamžičník východní</t>
  </si>
  <si>
    <t>Echinacea purpurea 'Prairie Splendor'</t>
  </si>
  <si>
    <t>třapatka</t>
  </si>
  <si>
    <t xml:space="preserve">Eryngium tripartitum </t>
  </si>
  <si>
    <t>máčka</t>
  </si>
  <si>
    <t xml:space="preserve">Pennisetum alopecuroides </t>
  </si>
  <si>
    <t>dichan psárkovitý</t>
  </si>
  <si>
    <t>Rudbeckia fulgida 'Goldsturm'</t>
  </si>
  <si>
    <t xml:space="preserve">Salvia nemorosa </t>
  </si>
  <si>
    <t>šalvěj</t>
  </si>
  <si>
    <t xml:space="preserve">Sedum telephium </t>
  </si>
  <si>
    <t>rozchodník</t>
  </si>
  <si>
    <t>Verbena bonariensis</t>
  </si>
  <si>
    <t>sporýš</t>
  </si>
  <si>
    <t xml:space="preserve">Celkem za rostlinný materiál </t>
  </si>
  <si>
    <t xml:space="preserve">Výškový prořez stromů   prováděný lezeckou technikou - Řez zdravotní, plocha koruny stromu </t>
  </si>
  <si>
    <t>Dovoz vody pro zálivku rostlin na vzdálenost do 1000 m (20 l/m2)</t>
  </si>
  <si>
    <t>Dovoz vody pro zálivku rostlin na vzdálenost do 1000 m (20l/m2)</t>
  </si>
  <si>
    <t>Dovoz vody pro zálivku rostlin na vzdálenost do 1000 m (80 l/ dřevina)</t>
  </si>
  <si>
    <t xml:space="preserve">Výsadba alej. stromu s balem  – celkem </t>
  </si>
  <si>
    <r>
      <t xml:space="preserve">Trávníkový pěstební substrát </t>
    </r>
    <r>
      <rPr>
        <sz val="10"/>
        <rFont val="Arial"/>
        <family val="2"/>
        <charset val="238"/>
      </rPr>
      <t>tl. vrstvy 0,05 m (násobeno koeficientem slehnutí zeminy 1,2), vč. dopravy materiálu</t>
    </r>
  </si>
  <si>
    <t>Trávníkový pěstební substrát tl. vrstvy 0,1 m (násobeno koeficientem slehnutí zeminy 1,2), vč. dopravy materiálu - nedává se na svahu !!!!</t>
  </si>
  <si>
    <t xml:space="preserve">Chemické odplevelení půdy před založením kultury, trávníku nebo zpevněných ploch o výměře přes 20 m2 na svahu přes 1:2 do 1:1 postřikem na široko </t>
  </si>
  <si>
    <t xml:space="preserve">Půdní přípravek pro zpevnění povrchu půdy pro ochranu před vodní a větrnou erozí (aplikace 40 g / m2) </t>
  </si>
  <si>
    <t>Náklady za práce - sadové úpravy - celkem</t>
  </si>
  <si>
    <t>Naložení výkopku ( plocha  * vrstva 0,4  * koef. Načechrání 1,2  )</t>
  </si>
  <si>
    <t>Odvoz a uložení na skládku (objem * obj. hmotnost 1,8 )</t>
  </si>
  <si>
    <t>1. podkladní vrstva - doprava materiálu</t>
  </si>
  <si>
    <t>kompl.</t>
  </si>
  <si>
    <t>167 10-1103</t>
  </si>
  <si>
    <t>Nakládání, skládání a překládání neulehlého výkopku nebo sypaniny, skládání z hornin tř. 1 až 4 (vrstva * plocha )</t>
  </si>
  <si>
    <t>1. podkladní vrstva - rozhrnutí materiálu</t>
  </si>
  <si>
    <t>181 11-1121</t>
  </si>
  <si>
    <t>Plošná úprava terénu v zemině tř. 1 až 4 s urovnáním povrchu bez doplnění ornice souvislé plochy do 500 m2 při nerovnostech terénu přes +/- 100 do +/- 150 mm v rovině nebo ve svahu do 1:5</t>
  </si>
  <si>
    <t>Štěrk frakce 16/32 - materiál  ( plocha * vrstva 0,15 * obj.hm. 2)</t>
  </si>
  <si>
    <t>2. podkladní vrstva - doprava materiálu</t>
  </si>
  <si>
    <t>Nakládání, skládání a překládání neulehlého výkopku nebo sypaniny, skládání z hornin tř. 1 až 4 (vrstva 0,1 m * plocha)</t>
  </si>
  <si>
    <t>2. podkladní vrstva - rozhrnutí materiálu</t>
  </si>
  <si>
    <t>Štěrk frakce 0/63 - materiál  (vrstva 0,1 m * plocha  * obj hm. 2 )</t>
  </si>
  <si>
    <t>3. podkladní vrstva - doprava materiálu</t>
  </si>
  <si>
    <t>Nakládání, skládání a překládání neulehlého výkopku nebo sypaniny, skládání z hornin tř. 1 až 4 (vrstva 0,1 m * plocha )</t>
  </si>
  <si>
    <t>3. podkladní vrstva - rozhrnutí materiálu</t>
  </si>
  <si>
    <t>Štěrk frakce 0/32 - materiál  (vrstva 0,1 m * plocha  * obj hm. 2)</t>
  </si>
  <si>
    <t>Svrchní vrstva - doprava materiálu</t>
  </si>
  <si>
    <t>Nakládání, skládání a překládání neulehlého výkopku nebo sypaniny, skládání z hornin tř. 1 až 4  (vrstva 0,04 m * plocha  )</t>
  </si>
  <si>
    <t>Svrchní vrstva - rozhrnutí materiálu</t>
  </si>
  <si>
    <t>Svrchní vrstva - vápenec fr. 0-4 mm, tl. 40 mm   (vrstva 0,04 m * plocha * obj hm 2 )</t>
  </si>
  <si>
    <t>Válcování válcem 3x</t>
  </si>
  <si>
    <t>Povrch z mechanicky zpevněného kameniva</t>
  </si>
  <si>
    <t>Povrch z mechanicky zpevněného kameniva - celkem</t>
  </si>
  <si>
    <t>Mobiliář</t>
  </si>
  <si>
    <t>Parková lavička (1600 x 760 x 828 mm ), materiál ocel a borovice Thermowood, včetně dopravy</t>
  </si>
  <si>
    <t>R+ specifikace</t>
  </si>
  <si>
    <t>Betonová patka pro ukotvení lavičky, včetně materiálu, dopravy a práce</t>
  </si>
  <si>
    <t>Montáž parkové lavičky</t>
  </si>
  <si>
    <t>Odpadkový koš  (384 × 384 × 800 mm), materiál ocel a borovice v úpravě ThermoWood, včetně dopravy</t>
  </si>
  <si>
    <t>Betonová patka pro ukotvení koše, včetně materiálu, dopravy a práce</t>
  </si>
  <si>
    <t>Montáž odpadkového koše</t>
  </si>
  <si>
    <t>Mobiliář - celkem</t>
  </si>
  <si>
    <t>Odpadkový koš  se zásobníkem na sáčky na exkrementy (384 × 384 × 800 mm), materiál ocel a borovice v úpravě ThermoWood, včetně dopravy</t>
  </si>
  <si>
    <t xml:space="preserve">Lavička bez opěradla, nohy z dřevěných špalků, akátové dřevo (1500 x 300 x 270 mm) </t>
  </si>
  <si>
    <t>Stojan na kola z masivu, průměr kmene 36 cm, délka 240 cm</t>
  </si>
  <si>
    <t>Ostatní prvky</t>
  </si>
  <si>
    <t>Ostatní prvky - celkem</t>
  </si>
  <si>
    <t>Dřevěné molo, sibiřský modřín, povrchová úprava olejovou lazurou, nerezové vruty</t>
  </si>
  <si>
    <t>Dřevěné molo - montáž a doprava</t>
  </si>
  <si>
    <t>Dřevěné molo</t>
  </si>
  <si>
    <t>Výkop lože do hloubky 100 mm</t>
  </si>
  <si>
    <t>Dodávka geotextilie, překryv koef. 1,05</t>
  </si>
  <si>
    <t>Podkladní vrstva - rozhrnutí materiálu</t>
  </si>
  <si>
    <t>Dřevěné molo - celkem</t>
  </si>
  <si>
    <t>Herní prvky</t>
  </si>
  <si>
    <t>Dřevěné kůly - stezka obratnosti (250 x 150 x 2000 mm), akátové dřevo</t>
  </si>
  <si>
    <t>Dřevěné kůly - montáž do betonových patek, včetně materiálu</t>
  </si>
  <si>
    <t>Vrbový tunel - mykorhizní houby, kompost</t>
  </si>
  <si>
    <t>Vrbový tunel ze živých vrbových prutů, šíře 1,25 m, výška 1,5 m, materiál a práce</t>
  </si>
  <si>
    <t>Pocitový chodník - montáž</t>
  </si>
  <si>
    <t>Herní prvky - celkem</t>
  </si>
  <si>
    <t>Pocitový chodník (délka 16 m, šířka 1,2 m) z akátových kulatin vyložených mulčovací textilií</t>
  </si>
  <si>
    <t>Rozpočet sestavila Ing. Pavlína Elfová</t>
  </si>
  <si>
    <t>Montáž lavičky bez opěradla</t>
  </si>
  <si>
    <t>Montáž stojanu na kola</t>
  </si>
  <si>
    <t xml:space="preserve">Mobiliář </t>
  </si>
  <si>
    <t>ROZPOČET K AKCI: Projekt revitalizace obecní zeleně v intravilánu Kamenných Žehrovic</t>
  </si>
  <si>
    <t>Vyjmutí stromu k přesazení</t>
  </si>
  <si>
    <t>ZRN</t>
  </si>
  <si>
    <t>zeleň</t>
  </si>
  <si>
    <t>zeleň bez kácení</t>
  </si>
  <si>
    <t>trávníky</t>
  </si>
  <si>
    <t>povrchy</t>
  </si>
  <si>
    <t>trvalky</t>
  </si>
  <si>
    <t>mobiliář</t>
  </si>
  <si>
    <t>nezpůsobilé s DPH</t>
  </si>
  <si>
    <t>Skládkovné</t>
  </si>
  <si>
    <t>Uložení biologického materiálu na skládku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</si>
</sst>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\ [$Kč-405];[Red]\-#,##0.00\ [$Kč-405]"/>
    <numFmt numFmtId="165" formatCode="#,##0&quot; Kč&quot;"/>
    <numFmt numFmtId="166" formatCode="#,##0\ [$Kč-405];[Red]\-#,##0\ [$Kč-405]"/>
    <numFmt numFmtId="167" formatCode="#,##0.00&quot; Kč&quot;"/>
    <numFmt numFmtId="168" formatCode="0.0000"/>
    <numFmt numFmtId="169" formatCode="0.00000"/>
    <numFmt numFmtId="170" formatCode="0.000"/>
    <numFmt numFmtId="171" formatCode="0.0"/>
    <numFmt numFmtId="172" formatCode="#,##0.00\ &quot;Kč&quot;"/>
    <numFmt numFmtId="173" formatCode="#,##0\ &quot;Kč&quot;"/>
  </numFmts>
  <fonts count="20" x14ac:knownFonts="1"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31"/>
      </patternFill>
    </fill>
    <fill>
      <patternFill patternType="solid">
        <fgColor indexed="47"/>
        <bgColor indexed="31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3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3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7" fillId="0" borderId="0"/>
    <xf numFmtId="0" fontId="17" fillId="0" borderId="0"/>
  </cellStyleXfs>
  <cellXfs count="361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/>
    <xf numFmtId="0" fontId="1" fillId="0" borderId="0" xfId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3" fillId="0" borderId="0" xfId="1" applyFont="1"/>
    <xf numFmtId="0" fontId="1" fillId="0" borderId="0" xfId="1" applyFont="1" applyFill="1"/>
    <xf numFmtId="0" fontId="2" fillId="0" borderId="0" xfId="1" applyFont="1" applyFill="1"/>
    <xf numFmtId="0" fontId="4" fillId="0" borderId="0" xfId="1" applyFont="1" applyFill="1" applyBorder="1" applyAlignment="1">
      <alignment horizontal="lef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164" fontId="1" fillId="0" borderId="0" xfId="1" applyNumberFormat="1" applyFont="1" applyFill="1" applyAlignment="1">
      <alignment horizontal="center" vertical="center"/>
    </xf>
    <xf numFmtId="0" fontId="12" fillId="0" borderId="0" xfId="1" applyFont="1"/>
    <xf numFmtId="0" fontId="6" fillId="2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171" fontId="10" fillId="0" borderId="1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4" fontId="10" fillId="2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14" fontId="10" fillId="7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164" fontId="10" fillId="5" borderId="1" xfId="1" applyNumberFormat="1" applyFont="1" applyFill="1" applyBorder="1" applyAlignment="1">
      <alignment horizontal="center" vertical="center"/>
    </xf>
    <xf numFmtId="0" fontId="1" fillId="8" borderId="0" xfId="1" applyFont="1" applyFill="1"/>
    <xf numFmtId="0" fontId="10" fillId="0" borderId="1" xfId="0" applyFont="1" applyFill="1" applyBorder="1" applyAlignment="1">
      <alignment horizontal="center" vertical="center"/>
    </xf>
    <xf numFmtId="170" fontId="10" fillId="0" borderId="1" xfId="1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0" fillId="9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1" fillId="4" borderId="0" xfId="1" applyFont="1" applyFill="1"/>
    <xf numFmtId="0" fontId="2" fillId="4" borderId="0" xfId="1" applyFont="1" applyFill="1"/>
    <xf numFmtId="1" fontId="10" fillId="0" borderId="1" xfId="1" applyNumberFormat="1" applyFont="1" applyFill="1" applyBorder="1" applyAlignment="1">
      <alignment horizontal="center" vertical="center"/>
    </xf>
    <xf numFmtId="0" fontId="0" fillId="9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71" fontId="10" fillId="4" borderId="1" xfId="1" applyNumberFormat="1" applyFont="1" applyFill="1" applyBorder="1" applyAlignment="1">
      <alignment horizontal="center" vertical="center"/>
    </xf>
    <xf numFmtId="2" fontId="10" fillId="0" borderId="1" xfId="1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3" fillId="11" borderId="1" xfId="1" applyFont="1" applyFill="1" applyBorder="1" applyAlignment="1">
      <alignment vertical="center"/>
    </xf>
    <xf numFmtId="0" fontId="10" fillId="5" borderId="1" xfId="1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68" fontId="14" fillId="0" borderId="1" xfId="1" applyNumberFormat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 wrapText="1"/>
    </xf>
    <xf numFmtId="0" fontId="10" fillId="15" borderId="0" xfId="1" applyFont="1" applyFill="1"/>
    <xf numFmtId="0" fontId="1" fillId="16" borderId="1" xfId="1" applyFont="1" applyFill="1" applyBorder="1" applyAlignment="1">
      <alignment horizontal="center" vertical="center"/>
    </xf>
    <xf numFmtId="0" fontId="1" fillId="16" borderId="0" xfId="1" applyFont="1" applyFill="1"/>
    <xf numFmtId="0" fontId="1" fillId="17" borderId="1" xfId="1" applyFont="1" applyFill="1" applyBorder="1" applyAlignment="1">
      <alignment horizontal="center" vertical="center"/>
    </xf>
    <xf numFmtId="0" fontId="10" fillId="18" borderId="1" xfId="0" applyFont="1" applyFill="1" applyBorder="1" applyAlignment="1">
      <alignment horizontal="center" vertical="center"/>
    </xf>
    <xf numFmtId="0" fontId="10" fillId="18" borderId="1" xfId="1" applyFont="1" applyFill="1" applyBorder="1" applyAlignment="1">
      <alignment vertical="center"/>
    </xf>
    <xf numFmtId="0" fontId="10" fillId="18" borderId="1" xfId="1" applyFont="1" applyFill="1" applyBorder="1"/>
    <xf numFmtId="0" fontId="10" fillId="18" borderId="1" xfId="1" applyFont="1" applyFill="1" applyBorder="1" applyAlignment="1">
      <alignment horizontal="center" vertical="center"/>
    </xf>
    <xf numFmtId="173" fontId="6" fillId="2" borderId="1" xfId="1" applyNumberFormat="1" applyFont="1" applyFill="1" applyBorder="1" applyAlignment="1">
      <alignment horizontal="right" vertical="center"/>
    </xf>
    <xf numFmtId="0" fontId="10" fillId="19" borderId="1" xfId="1" applyFont="1" applyFill="1" applyBorder="1" applyAlignment="1">
      <alignment horizontal="center" vertical="center"/>
    </xf>
    <xf numFmtId="0" fontId="2" fillId="20" borderId="0" xfId="1" applyFont="1" applyFill="1"/>
    <xf numFmtId="0" fontId="10" fillId="20" borderId="1" xfId="1" applyFont="1" applyFill="1" applyBorder="1" applyAlignment="1">
      <alignment horizontal="center" vertical="center"/>
    </xf>
    <xf numFmtId="0" fontId="4" fillId="11" borderId="1" xfId="1" applyFont="1" applyFill="1" applyBorder="1" applyAlignment="1">
      <alignment vertical="center"/>
    </xf>
    <xf numFmtId="0" fontId="2" fillId="0" borderId="0" xfId="1" applyFont="1"/>
    <xf numFmtId="164" fontId="6" fillId="22" borderId="1" xfId="1" applyNumberFormat="1" applyFont="1" applyFill="1" applyBorder="1" applyAlignment="1">
      <alignment horizontal="center" vertical="center"/>
    </xf>
    <xf numFmtId="172" fontId="10" fillId="0" borderId="1" xfId="1" applyNumberFormat="1" applyFont="1" applyFill="1" applyBorder="1" applyAlignment="1">
      <alignment horizontal="right" vertical="center"/>
    </xf>
    <xf numFmtId="1" fontId="0" fillId="0" borderId="1" xfId="1" applyNumberFormat="1" applyFont="1" applyFill="1" applyBorder="1" applyAlignment="1">
      <alignment horizontal="center" vertical="center"/>
    </xf>
    <xf numFmtId="0" fontId="5" fillId="18" borderId="1" xfId="1" applyFont="1" applyFill="1" applyBorder="1" applyAlignment="1">
      <alignment horizontal="center" vertical="center"/>
    </xf>
    <xf numFmtId="171" fontId="10" fillId="18" borderId="1" xfId="1" applyNumberFormat="1" applyFont="1" applyFill="1" applyBorder="1" applyAlignment="1">
      <alignment horizontal="center" vertical="center"/>
    </xf>
    <xf numFmtId="2" fontId="5" fillId="18" borderId="1" xfId="1" applyNumberFormat="1" applyFont="1" applyFill="1" applyBorder="1" applyAlignment="1">
      <alignment horizontal="center" vertical="center"/>
    </xf>
    <xf numFmtId="9" fontId="10" fillId="6" borderId="1" xfId="1" applyNumberFormat="1" applyFont="1" applyFill="1" applyBorder="1" applyAlignment="1">
      <alignment horizontal="center" vertical="center"/>
    </xf>
    <xf numFmtId="9" fontId="0" fillId="0" borderId="1" xfId="1" applyNumberFormat="1" applyFont="1" applyFill="1" applyBorder="1" applyAlignment="1">
      <alignment horizontal="center" vertical="center"/>
    </xf>
    <xf numFmtId="172" fontId="5" fillId="0" borderId="1" xfId="1" applyNumberFormat="1" applyFont="1" applyFill="1" applyBorder="1" applyAlignment="1">
      <alignment horizontal="right" vertical="center" wrapText="1"/>
    </xf>
    <xf numFmtId="172" fontId="6" fillId="2" borderId="1" xfId="1" applyNumberFormat="1" applyFont="1" applyFill="1" applyBorder="1" applyAlignment="1">
      <alignment vertical="center"/>
    </xf>
    <xf numFmtId="172" fontId="10" fillId="0" borderId="1" xfId="1" applyNumberFormat="1" applyFont="1" applyFill="1" applyBorder="1" applyAlignment="1">
      <alignment vertical="center"/>
    </xf>
    <xf numFmtId="172" fontId="5" fillId="0" borderId="1" xfId="1" applyNumberFormat="1" applyFont="1" applyFill="1" applyBorder="1" applyAlignment="1">
      <alignment horizontal="right" vertical="center"/>
    </xf>
    <xf numFmtId="172" fontId="5" fillId="0" borderId="1" xfId="1" applyNumberFormat="1" applyFont="1" applyBorder="1" applyAlignment="1">
      <alignment vertical="center"/>
    </xf>
    <xf numFmtId="172" fontId="6" fillId="3" borderId="1" xfId="1" applyNumberFormat="1" applyFont="1" applyFill="1" applyBorder="1" applyAlignment="1">
      <alignment vertical="center"/>
    </xf>
    <xf numFmtId="172" fontId="6" fillId="11" borderId="1" xfId="1" applyNumberFormat="1" applyFont="1" applyFill="1" applyBorder="1" applyAlignment="1">
      <alignment vertical="center"/>
    </xf>
    <xf numFmtId="172" fontId="10" fillId="0" borderId="1" xfId="1" applyNumberFormat="1" applyFont="1" applyFill="1" applyBorder="1" applyAlignment="1">
      <alignment horizontal="right" vertical="center" wrapText="1"/>
    </xf>
    <xf numFmtId="172" fontId="9" fillId="0" borderId="1" xfId="1" applyNumberFormat="1" applyFont="1" applyBorder="1" applyAlignment="1">
      <alignment horizontal="center" vertical="center"/>
    </xf>
    <xf numFmtId="172" fontId="7" fillId="17" borderId="1" xfId="1" applyNumberFormat="1" applyFont="1" applyFill="1" applyBorder="1" applyAlignment="1">
      <alignment horizontal="center" vertical="center"/>
    </xf>
    <xf numFmtId="172" fontId="7" fillId="21" borderId="1" xfId="1" applyNumberFormat="1" applyFont="1" applyFill="1" applyBorder="1" applyAlignment="1">
      <alignment horizontal="center" vertical="center"/>
    </xf>
    <xf numFmtId="172" fontId="7" fillId="11" borderId="1" xfId="1" applyNumberFormat="1" applyFont="1" applyFill="1" applyBorder="1" applyAlignment="1">
      <alignment horizontal="center" vertical="center"/>
    </xf>
    <xf numFmtId="172" fontId="7" fillId="15" borderId="1" xfId="1" applyNumberFormat="1" applyFont="1" applyFill="1" applyBorder="1" applyAlignment="1">
      <alignment horizontal="center" vertical="center"/>
    </xf>
    <xf numFmtId="172" fontId="7" fillId="0" borderId="1" xfId="1" applyNumberFormat="1" applyFont="1" applyFill="1" applyBorder="1" applyAlignment="1">
      <alignment horizontal="center" vertical="center"/>
    </xf>
    <xf numFmtId="172" fontId="6" fillId="22" borderId="1" xfId="1" applyNumberFormat="1" applyFont="1" applyFill="1" applyBorder="1" applyAlignment="1">
      <alignment horizontal="center" vertical="center"/>
    </xf>
    <xf numFmtId="172" fontId="6" fillId="12" borderId="1" xfId="1" applyNumberFormat="1" applyFont="1" applyFill="1" applyBorder="1" applyAlignment="1">
      <alignment horizontal="center" vertical="center"/>
    </xf>
    <xf numFmtId="172" fontId="8" fillId="0" borderId="0" xfId="1" applyNumberFormat="1" applyFont="1" applyFill="1" applyAlignment="1">
      <alignment vertical="center"/>
    </xf>
    <xf numFmtId="172" fontId="1" fillId="0" borderId="0" xfId="1" applyNumberFormat="1" applyFont="1" applyFill="1" applyAlignment="1">
      <alignment vertical="center"/>
    </xf>
    <xf numFmtId="172" fontId="1" fillId="0" borderId="0" xfId="1" applyNumberFormat="1" applyFont="1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0" fillId="7" borderId="1" xfId="1" applyNumberFormat="1" applyFont="1" applyFill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6" fillId="2" borderId="1" xfId="1" applyNumberFormat="1" applyFont="1" applyFill="1" applyBorder="1" applyAlignment="1">
      <alignment horizontal="center" vertical="center"/>
    </xf>
    <xf numFmtId="1" fontId="10" fillId="7" borderId="1" xfId="1" applyNumberFormat="1" applyFont="1" applyFill="1" applyBorder="1" applyAlignment="1">
      <alignment horizontal="center" vertical="center"/>
    </xf>
    <xf numFmtId="0" fontId="0" fillId="18" borderId="1" xfId="1" applyFont="1" applyFill="1" applyBorder="1" applyAlignment="1">
      <alignment horizontal="center" vertical="center"/>
    </xf>
    <xf numFmtId="0" fontId="1" fillId="18" borderId="0" xfId="1" applyFont="1" applyFill="1"/>
    <xf numFmtId="0" fontId="0" fillId="18" borderId="1" xfId="0" applyFill="1" applyBorder="1" applyAlignment="1">
      <alignment horizontal="center" vertical="center"/>
    </xf>
    <xf numFmtId="0" fontId="0" fillId="18" borderId="1" xfId="1" applyFont="1" applyFill="1" applyBorder="1" applyAlignment="1">
      <alignment vertical="center"/>
    </xf>
    <xf numFmtId="2" fontId="10" fillId="18" borderId="1" xfId="0" applyNumberFormat="1" applyFont="1" applyFill="1" applyBorder="1" applyAlignment="1">
      <alignment horizontal="center" vertical="center"/>
    </xf>
    <xf numFmtId="172" fontId="10" fillId="18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/>
    </xf>
    <xf numFmtId="49" fontId="18" fillId="18" borderId="1" xfId="0" applyNumberFormat="1" applyFont="1" applyFill="1" applyBorder="1" applyAlignment="1">
      <alignment horizontal="center" vertical="center" wrapText="1"/>
    </xf>
    <xf numFmtId="0" fontId="18" fillId="18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vertical="center"/>
    </xf>
    <xf numFmtId="2" fontId="5" fillId="0" borderId="1" xfId="1" applyNumberFormat="1" applyFont="1" applyFill="1" applyBorder="1" applyAlignment="1">
      <alignment horizontal="right" vertical="center" wrapText="1"/>
    </xf>
    <xf numFmtId="49" fontId="10" fillId="18" borderId="1" xfId="0" applyNumberFormat="1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>
      <alignment horizontal="center" vertical="center"/>
    </xf>
    <xf numFmtId="1" fontId="10" fillId="2" borderId="1" xfId="1" applyNumberFormat="1" applyFont="1" applyFill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1" fontId="6" fillId="7" borderId="1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171" fontId="5" fillId="0" borderId="1" xfId="1" applyNumberFormat="1" applyFont="1" applyBorder="1" applyAlignment="1">
      <alignment horizontal="center" vertical="center"/>
    </xf>
    <xf numFmtId="9" fontId="10" fillId="0" borderId="1" xfId="1" applyNumberFormat="1" applyFont="1" applyFill="1" applyBorder="1" applyAlignment="1">
      <alignment horizontal="center" vertical="center"/>
    </xf>
    <xf numFmtId="1" fontId="10" fillId="4" borderId="1" xfId="1" applyNumberFormat="1" applyFont="1" applyFill="1" applyBorder="1" applyAlignment="1">
      <alignment horizontal="center" vertical="center"/>
    </xf>
    <xf numFmtId="2" fontId="10" fillId="4" borderId="1" xfId="1" applyNumberFormat="1" applyFont="1" applyFill="1" applyBorder="1" applyAlignment="1">
      <alignment horizontal="center" vertical="center"/>
    </xf>
    <xf numFmtId="168" fontId="10" fillId="4" borderId="1" xfId="1" applyNumberFormat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/>
    </xf>
    <xf numFmtId="0" fontId="10" fillId="0" borderId="1" xfId="1" applyBorder="1" applyAlignment="1">
      <alignment horizontal="center" vertical="center"/>
    </xf>
    <xf numFmtId="0" fontId="10" fillId="9" borderId="1" xfId="1" applyFill="1" applyBorder="1" applyAlignment="1">
      <alignment horizontal="center" vertical="center"/>
    </xf>
    <xf numFmtId="0" fontId="10" fillId="24" borderId="1" xfId="1" applyFill="1" applyBorder="1" applyAlignment="1">
      <alignment horizontal="center" vertical="center"/>
    </xf>
    <xf numFmtId="0" fontId="10" fillId="25" borderId="1" xfId="1" applyFill="1" applyBorder="1" applyAlignment="1">
      <alignment horizontal="center" vertical="center"/>
    </xf>
    <xf numFmtId="0" fontId="10" fillId="24" borderId="1" xfId="1" applyFont="1" applyFill="1" applyBorder="1" applyAlignment="1">
      <alignment horizontal="center" vertical="center"/>
    </xf>
    <xf numFmtId="172" fontId="10" fillId="24" borderId="1" xfId="1" applyNumberFormat="1" applyFont="1" applyFill="1" applyBorder="1" applyAlignment="1">
      <alignment horizontal="right" vertical="center" wrapText="1"/>
    </xf>
    <xf numFmtId="0" fontId="10" fillId="24" borderId="1" xfId="1" applyFont="1" applyFill="1" applyBorder="1"/>
    <xf numFmtId="0" fontId="0" fillId="25" borderId="1" xfId="1" applyFont="1" applyFill="1" applyBorder="1" applyAlignment="1">
      <alignment horizontal="center" vertical="center"/>
    </xf>
    <xf numFmtId="0" fontId="0" fillId="24" borderId="1" xfId="1" applyFont="1" applyFill="1" applyBorder="1" applyAlignment="1">
      <alignment horizontal="center" vertical="center"/>
    </xf>
    <xf numFmtId="0" fontId="10" fillId="26" borderId="1" xfId="1" applyFill="1" applyBorder="1" applyAlignment="1">
      <alignment vertical="center"/>
    </xf>
    <xf numFmtId="0" fontId="10" fillId="18" borderId="1" xfId="1" applyFill="1" applyBorder="1"/>
    <xf numFmtId="0" fontId="10" fillId="18" borderId="1" xfId="1" applyFill="1" applyBorder="1" applyAlignment="1">
      <alignment horizontal="center" vertical="center"/>
    </xf>
    <xf numFmtId="172" fontId="10" fillId="0" borderId="1" xfId="1" applyNumberFormat="1" applyBorder="1" applyAlignment="1">
      <alignment horizontal="right" vertical="center" wrapText="1"/>
    </xf>
    <xf numFmtId="0" fontId="10" fillId="18" borderId="0" xfId="1" applyFill="1"/>
    <xf numFmtId="172" fontId="6" fillId="26" borderId="1" xfId="1" applyNumberFormat="1" applyFont="1" applyFill="1" applyBorder="1" applyAlignment="1">
      <alignment horizontal="right" vertical="center"/>
    </xf>
    <xf numFmtId="0" fontId="10" fillId="22" borderId="1" xfId="1" applyFill="1" applyBorder="1" applyAlignment="1">
      <alignment vertical="center"/>
    </xf>
    <xf numFmtId="172" fontId="6" fillId="22" borderId="1" xfId="1" applyNumberFormat="1" applyFont="1" applyFill="1" applyBorder="1" applyAlignment="1">
      <alignment horizontal="right" vertical="center"/>
    </xf>
    <xf numFmtId="0" fontId="0" fillId="27" borderId="1" xfId="1" applyFont="1" applyFill="1" applyBorder="1" applyAlignment="1">
      <alignment horizontal="center" vertical="center"/>
    </xf>
    <xf numFmtId="0" fontId="6" fillId="24" borderId="1" xfId="1" applyFont="1" applyFill="1" applyBorder="1" applyAlignment="1">
      <alignment horizontal="center" vertical="center"/>
    </xf>
    <xf numFmtId="164" fontId="6" fillId="24" borderId="1" xfId="1" applyNumberFormat="1" applyFont="1" applyFill="1" applyBorder="1" applyAlignment="1">
      <alignment horizontal="right" vertical="center"/>
    </xf>
    <xf numFmtId="172" fontId="6" fillId="24" borderId="1" xfId="1" applyNumberFormat="1" applyFont="1" applyFill="1" applyBorder="1" applyAlignment="1">
      <alignment horizontal="right" vertical="center" wrapText="1"/>
    </xf>
    <xf numFmtId="0" fontId="6" fillId="24" borderId="1" xfId="1" applyFont="1" applyFill="1" applyBorder="1"/>
    <xf numFmtId="0" fontId="6" fillId="18" borderId="1" xfId="0" applyFont="1" applyFill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172" fontId="7" fillId="26" borderId="1" xfId="1" applyNumberFormat="1" applyFont="1" applyFill="1" applyBorder="1" applyAlignment="1">
      <alignment horizontal="center" vertical="center"/>
    </xf>
    <xf numFmtId="164" fontId="7" fillId="17" borderId="1" xfId="1" applyNumberFormat="1" applyFont="1" applyFill="1" applyBorder="1" applyAlignment="1">
      <alignment horizontal="center" vertical="center"/>
    </xf>
    <xf numFmtId="164" fontId="7" fillId="21" borderId="1" xfId="1" applyNumberFormat="1" applyFont="1" applyFill="1" applyBorder="1" applyAlignment="1">
      <alignment horizontal="center" vertical="center"/>
    </xf>
    <xf numFmtId="164" fontId="7" fillId="11" borderId="1" xfId="1" applyNumberFormat="1" applyFont="1" applyFill="1" applyBorder="1" applyAlignment="1">
      <alignment horizontal="center" vertical="center"/>
    </xf>
    <xf numFmtId="164" fontId="7" fillId="15" borderId="1" xfId="1" applyNumberFormat="1" applyFont="1" applyFill="1" applyBorder="1" applyAlignment="1">
      <alignment horizontal="center" vertical="center"/>
    </xf>
    <xf numFmtId="164" fontId="7" fillId="26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6" fillId="12" borderId="1" xfId="1" applyNumberFormat="1" applyFont="1" applyFill="1" applyBorder="1" applyAlignment="1">
      <alignment horizontal="center" vertical="center"/>
    </xf>
    <xf numFmtId="0" fontId="10" fillId="18" borderId="2" xfId="1" applyFont="1" applyFill="1" applyBorder="1"/>
    <xf numFmtId="0" fontId="10" fillId="24" borderId="2" xfId="1" applyFont="1" applyFill="1" applyBorder="1"/>
    <xf numFmtId="0" fontId="10" fillId="18" borderId="2" xfId="1" applyFill="1" applyBorder="1"/>
    <xf numFmtId="0" fontId="6" fillId="24" borderId="2" xfId="1" applyFont="1" applyFill="1" applyBorder="1"/>
    <xf numFmtId="0" fontId="1" fillId="0" borderId="0" xfId="1" applyFont="1" applyBorder="1" applyAlignment="1"/>
    <xf numFmtId="0" fontId="4" fillId="0" borderId="1" xfId="1" applyFont="1" applyFill="1" applyBorder="1" applyAlignment="1">
      <alignment vertical="center" wrapText="1"/>
    </xf>
    <xf numFmtId="0" fontId="1" fillId="0" borderId="1" xfId="1" applyFon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172" fontId="2" fillId="17" borderId="1" xfId="1" applyNumberFormat="1" applyFont="1" applyFill="1" applyBorder="1" applyAlignment="1">
      <alignment vertical="center"/>
    </xf>
    <xf numFmtId="0" fontId="7" fillId="2" borderId="1" xfId="1" applyNumberFormat="1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>
      <alignment horizontal="right" vertical="center"/>
    </xf>
    <xf numFmtId="165" fontId="6" fillId="2" borderId="1" xfId="1" applyNumberFormat="1" applyFont="1" applyFill="1" applyBorder="1" applyAlignment="1">
      <alignment horizontal="right" vertical="center"/>
    </xf>
    <xf numFmtId="171" fontId="18" fillId="4" borderId="1" xfId="1" applyNumberFormat="1" applyFont="1" applyFill="1" applyBorder="1" applyAlignment="1">
      <alignment horizontal="center" vertical="center"/>
    </xf>
    <xf numFmtId="172" fontId="10" fillId="4" borderId="1" xfId="1" applyNumberFormat="1" applyFont="1" applyFill="1" applyBorder="1" applyAlignment="1">
      <alignment vertical="center"/>
    </xf>
    <xf numFmtId="169" fontId="10" fillId="5" borderId="1" xfId="1" applyNumberFormat="1" applyFont="1" applyFill="1" applyBorder="1" applyAlignment="1">
      <alignment horizontal="center" vertical="center"/>
    </xf>
    <xf numFmtId="172" fontId="6" fillId="5" borderId="1" xfId="1" applyNumberFormat="1" applyFont="1" applyFill="1" applyBorder="1" applyAlignment="1">
      <alignment vertical="center"/>
    </xf>
    <xf numFmtId="172" fontId="6" fillId="19" borderId="1" xfId="1" applyNumberFormat="1" applyFont="1" applyFill="1" applyBorder="1" applyAlignment="1">
      <alignment vertical="center"/>
    </xf>
    <xf numFmtId="172" fontId="14" fillId="0" borderId="1" xfId="1" applyNumberFormat="1" applyFont="1" applyBorder="1" applyAlignment="1">
      <alignment vertical="center"/>
    </xf>
    <xf numFmtId="0" fontId="10" fillId="10" borderId="1" xfId="1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horizontal="center" vertical="center"/>
    </xf>
    <xf numFmtId="1" fontId="6" fillId="10" borderId="1" xfId="1" applyNumberFormat="1" applyFont="1" applyFill="1" applyBorder="1" applyAlignment="1">
      <alignment horizontal="center" vertical="center"/>
    </xf>
    <xf numFmtId="164" fontId="10" fillId="10" borderId="1" xfId="1" applyNumberFormat="1" applyFont="1" applyFill="1" applyBorder="1" applyAlignment="1">
      <alignment horizontal="center" vertical="center"/>
    </xf>
    <xf numFmtId="172" fontId="6" fillId="10" borderId="1" xfId="1" applyNumberFormat="1" applyFont="1" applyFill="1" applyBorder="1" applyAlignment="1">
      <alignment vertical="center"/>
    </xf>
    <xf numFmtId="170" fontId="10" fillId="4" borderId="1" xfId="1" applyNumberFormat="1" applyFont="1" applyFill="1" applyBorder="1" applyAlignment="1">
      <alignment horizontal="center" vertical="center"/>
    </xf>
    <xf numFmtId="172" fontId="10" fillId="18" borderId="1" xfId="1" applyNumberFormat="1" applyFont="1" applyFill="1" applyBorder="1" applyAlignment="1">
      <alignment vertical="center"/>
    </xf>
    <xf numFmtId="1" fontId="6" fillId="6" borderId="1" xfId="1" applyNumberFormat="1" applyFont="1" applyFill="1" applyBorder="1" applyAlignment="1">
      <alignment horizontal="center" vertical="center"/>
    </xf>
    <xf numFmtId="164" fontId="10" fillId="6" borderId="1" xfId="1" applyNumberFormat="1" applyFont="1" applyFill="1" applyBorder="1" applyAlignment="1">
      <alignment horizontal="center" vertical="center"/>
    </xf>
    <xf numFmtId="172" fontId="6" fillId="6" borderId="1" xfId="1" applyNumberFormat="1" applyFont="1" applyFill="1" applyBorder="1" applyAlignment="1">
      <alignment vertical="center"/>
    </xf>
    <xf numFmtId="168" fontId="10" fillId="0" borderId="1" xfId="1" applyNumberFormat="1" applyFont="1" applyFill="1" applyBorder="1" applyAlignment="1">
      <alignment horizontal="center" vertical="center"/>
    </xf>
    <xf numFmtId="2" fontId="10" fillId="18" borderId="1" xfId="1" applyNumberFormat="1" applyFont="1" applyFill="1" applyBorder="1" applyAlignment="1">
      <alignment horizontal="center" vertical="center"/>
    </xf>
    <xf numFmtId="171" fontId="14" fillId="0" borderId="1" xfId="1" applyNumberFormat="1" applyFont="1" applyFill="1" applyBorder="1" applyAlignment="1">
      <alignment horizontal="center" vertical="center"/>
    </xf>
    <xf numFmtId="171" fontId="1" fillId="0" borderId="1" xfId="1" applyNumberFormat="1" applyFont="1" applyBorder="1" applyAlignment="1">
      <alignment horizontal="center" vertical="center"/>
    </xf>
    <xf numFmtId="172" fontId="1" fillId="23" borderId="1" xfId="1" applyNumberFormat="1" applyFont="1" applyFill="1" applyBorder="1" applyAlignment="1">
      <alignment vertical="center"/>
    </xf>
    <xf numFmtId="1" fontId="10" fillId="18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170" fontId="14" fillId="0" borderId="1" xfId="1" applyNumberFormat="1" applyFont="1" applyFill="1" applyBorder="1" applyAlignment="1">
      <alignment horizontal="center" vertical="center"/>
    </xf>
    <xf numFmtId="171" fontId="10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170" fontId="10" fillId="0" borderId="1" xfId="1" applyNumberFormat="1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/>
    </xf>
    <xf numFmtId="172" fontId="6" fillId="15" borderId="1" xfId="1" applyNumberFormat="1" applyFont="1" applyFill="1" applyBorder="1" applyAlignment="1">
      <alignment vertical="center"/>
    </xf>
    <xf numFmtId="0" fontId="10" fillId="13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23" borderId="1" xfId="1" applyFont="1" applyFill="1" applyBorder="1" applyAlignment="1">
      <alignment vertical="center"/>
    </xf>
    <xf numFmtId="164" fontId="1" fillId="0" borderId="0" xfId="1" applyNumberFormat="1" applyFont="1" applyBorder="1" applyAlignment="1"/>
    <xf numFmtId="172" fontId="1" fillId="0" borderId="0" xfId="1" applyNumberFormat="1" applyFont="1" applyBorder="1" applyAlignment="1"/>
    <xf numFmtId="166" fontId="10" fillId="28" borderId="1" xfId="1" applyNumberFormat="1" applyFont="1" applyFill="1" applyBorder="1" applyAlignment="1" applyProtection="1">
      <alignment horizontal="right" vertical="center"/>
      <protection locked="0"/>
    </xf>
    <xf numFmtId="173" fontId="5" fillId="28" borderId="1" xfId="1" applyNumberFormat="1" applyFont="1" applyFill="1" applyBorder="1" applyAlignment="1" applyProtection="1">
      <alignment horizontal="right" vertical="center" wrapText="1"/>
      <protection locked="0"/>
    </xf>
    <xf numFmtId="166" fontId="5" fillId="28" borderId="1" xfId="1" applyNumberFormat="1" applyFont="1" applyFill="1" applyBorder="1" applyAlignment="1" applyProtection="1">
      <alignment horizontal="right" vertical="center" wrapText="1"/>
      <protection locked="0"/>
    </xf>
    <xf numFmtId="165" fontId="10" fillId="28" borderId="1" xfId="1" applyNumberFormat="1" applyFont="1" applyFill="1" applyBorder="1" applyAlignment="1" applyProtection="1">
      <alignment horizontal="right" vertical="center"/>
      <protection locked="0"/>
    </xf>
    <xf numFmtId="165" fontId="5" fillId="28" borderId="1" xfId="1" applyNumberFormat="1" applyFont="1" applyFill="1" applyBorder="1" applyAlignment="1" applyProtection="1">
      <alignment horizontal="right" vertical="center"/>
      <protection locked="0"/>
    </xf>
    <xf numFmtId="172" fontId="10" fillId="28" borderId="1" xfId="1" applyNumberFormat="1" applyFont="1" applyFill="1" applyBorder="1" applyAlignment="1" applyProtection="1">
      <alignment vertical="center"/>
      <protection locked="0"/>
    </xf>
    <xf numFmtId="165" fontId="14" fillId="28" borderId="1" xfId="1" applyNumberFormat="1" applyFont="1" applyFill="1" applyBorder="1" applyAlignment="1" applyProtection="1">
      <alignment horizontal="right" vertical="center"/>
      <protection locked="0"/>
    </xf>
    <xf numFmtId="172" fontId="10" fillId="28" borderId="1" xfId="1" applyNumberFormat="1" applyFont="1" applyFill="1" applyBorder="1" applyAlignment="1" applyProtection="1">
      <alignment horizontal="right" vertical="center"/>
      <protection locked="0"/>
    </xf>
    <xf numFmtId="164" fontId="10" fillId="28" borderId="1" xfId="1" applyNumberFormat="1" applyFont="1" applyFill="1" applyBorder="1" applyAlignment="1" applyProtection="1">
      <alignment horizontal="right" vertical="center"/>
      <protection locked="0"/>
    </xf>
    <xf numFmtId="167" fontId="14" fillId="28" borderId="1" xfId="1" applyNumberFormat="1" applyFont="1" applyFill="1" applyBorder="1" applyAlignment="1" applyProtection="1">
      <alignment horizontal="right" vertical="center"/>
      <protection locked="0"/>
    </xf>
    <xf numFmtId="164" fontId="14" fillId="28" borderId="1" xfId="1" applyNumberFormat="1" applyFont="1" applyFill="1" applyBorder="1" applyAlignment="1" applyProtection="1">
      <alignment horizontal="right" vertical="center"/>
      <protection locked="0"/>
    </xf>
    <xf numFmtId="164" fontId="10" fillId="28" borderId="1" xfId="0" applyNumberFormat="1" applyFont="1" applyFill="1" applyBorder="1" applyAlignment="1" applyProtection="1">
      <alignment horizontal="right" vertical="center" wrapText="1"/>
      <protection locked="0"/>
    </xf>
    <xf numFmtId="172" fontId="1" fillId="28" borderId="1" xfId="1" applyNumberFormat="1" applyFont="1" applyFill="1" applyBorder="1" applyAlignment="1" applyProtection="1">
      <alignment horizontal="right" vertical="center"/>
      <protection locked="0"/>
    </xf>
    <xf numFmtId="172" fontId="5" fillId="28" borderId="1" xfId="1" applyNumberFormat="1" applyFont="1" applyFill="1" applyBorder="1" applyAlignment="1" applyProtection="1">
      <alignment horizontal="right" vertical="center"/>
      <protection locked="0"/>
    </xf>
    <xf numFmtId="167" fontId="10" fillId="28" borderId="1" xfId="1" applyNumberFormat="1" applyFont="1" applyFill="1" applyBorder="1" applyAlignment="1" applyProtection="1">
      <alignment horizontal="right" vertical="center"/>
      <protection locked="0"/>
    </xf>
    <xf numFmtId="167" fontId="10" fillId="28" borderId="1" xfId="0" applyNumberFormat="1" applyFont="1" applyFill="1" applyBorder="1" applyAlignment="1" applyProtection="1">
      <alignment horizontal="right" vertical="center" wrapText="1"/>
      <protection locked="0"/>
    </xf>
    <xf numFmtId="164" fontId="10" fillId="28" borderId="1" xfId="1" applyNumberFormat="1" applyFont="1" applyFill="1" applyBorder="1" applyAlignment="1" applyProtection="1">
      <alignment horizontal="right" vertical="center" wrapText="1"/>
      <protection locked="0"/>
    </xf>
    <xf numFmtId="172" fontId="0" fillId="29" borderId="1" xfId="1" applyNumberFormat="1" applyFont="1" applyFill="1" applyBorder="1" applyAlignment="1" applyProtection="1">
      <alignment horizontal="right" vertical="center"/>
      <protection locked="0"/>
    </xf>
    <xf numFmtId="172" fontId="10" fillId="29" borderId="1" xfId="1" applyNumberFormat="1" applyFill="1" applyBorder="1" applyAlignment="1" applyProtection="1">
      <alignment horizontal="right" vertical="center"/>
      <protection locked="0"/>
    </xf>
    <xf numFmtId="172" fontId="10" fillId="28" borderId="1" xfId="1" applyNumberFormat="1" applyFill="1" applyBorder="1" applyAlignment="1" applyProtection="1">
      <alignment horizontal="right" vertical="center"/>
      <protection locked="0"/>
    </xf>
    <xf numFmtId="164" fontId="10" fillId="28" borderId="1" xfId="1" applyNumberFormat="1" applyFill="1" applyBorder="1" applyAlignment="1" applyProtection="1">
      <alignment horizontal="right" vertical="center"/>
      <protection locked="0"/>
    </xf>
    <xf numFmtId="172" fontId="6" fillId="30" borderId="1" xfId="1" applyNumberFormat="1" applyFont="1" applyFill="1" applyBorder="1" applyAlignment="1" applyProtection="1">
      <alignment vertical="center"/>
      <protection locked="0"/>
    </xf>
    <xf numFmtId="0" fontId="10" fillId="13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72" fontId="4" fillId="0" borderId="1" xfId="1" applyNumberFormat="1" applyFont="1" applyFill="1" applyBorder="1" applyAlignment="1">
      <alignment horizontal="center" vertical="center" wrapText="1"/>
    </xf>
    <xf numFmtId="0" fontId="0" fillId="18" borderId="1" xfId="1" applyFont="1" applyFill="1" applyBorder="1" applyAlignment="1">
      <alignment horizontal="left" vertical="center"/>
    </xf>
    <xf numFmtId="0" fontId="10" fillId="18" borderId="1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vertical="center" wrapText="1"/>
    </xf>
    <xf numFmtId="0" fontId="0" fillId="18" borderId="4" xfId="1" applyFont="1" applyFill="1" applyBorder="1" applyAlignment="1">
      <alignment horizontal="left" vertical="center"/>
    </xf>
    <xf numFmtId="0" fontId="0" fillId="18" borderId="2" xfId="1" applyFont="1" applyFill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left" vertical="center"/>
    </xf>
    <xf numFmtId="0" fontId="0" fillId="0" borderId="1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6" fillId="22" borderId="4" xfId="1" applyFont="1" applyFill="1" applyBorder="1" applyAlignment="1">
      <alignment vertical="center"/>
    </xf>
    <xf numFmtId="0" fontId="6" fillId="22" borderId="3" xfId="1" applyFont="1" applyFill="1" applyBorder="1" applyAlignment="1">
      <alignment vertical="center"/>
    </xf>
    <xf numFmtId="0" fontId="6" fillId="22" borderId="2" xfId="1" applyFont="1" applyFill="1" applyBorder="1" applyAlignment="1">
      <alignment vertical="center"/>
    </xf>
    <xf numFmtId="0" fontId="6" fillId="0" borderId="4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left" vertical="center"/>
    </xf>
    <xf numFmtId="0" fontId="0" fillId="0" borderId="4" xfId="1" applyFont="1" applyFill="1" applyBorder="1" applyAlignment="1">
      <alignment vertical="center"/>
    </xf>
    <xf numFmtId="0" fontId="0" fillId="0" borderId="3" xfId="1" applyFont="1" applyFill="1" applyBorder="1" applyAlignment="1">
      <alignment vertical="center"/>
    </xf>
    <xf numFmtId="0" fontId="0" fillId="0" borderId="2" xfId="1" applyFont="1" applyFill="1" applyBorder="1" applyAlignment="1">
      <alignment vertical="center"/>
    </xf>
    <xf numFmtId="0" fontId="6" fillId="26" borderId="1" xfId="1" applyFont="1" applyFill="1" applyBorder="1" applyAlignment="1">
      <alignment horizontal="left" vertical="center" wrapText="1"/>
    </xf>
    <xf numFmtId="0" fontId="6" fillId="26" borderId="4" xfId="1" applyFont="1" applyFill="1" applyBorder="1" applyAlignment="1">
      <alignment horizontal="left" vertical="center"/>
    </xf>
    <xf numFmtId="0" fontId="6" fillId="26" borderId="3" xfId="1" applyFont="1" applyFill="1" applyBorder="1" applyAlignment="1">
      <alignment horizontal="left" vertical="center"/>
    </xf>
    <xf numFmtId="0" fontId="6" fillId="26" borderId="2" xfId="1" applyFont="1" applyFill="1" applyBorder="1" applyAlignment="1">
      <alignment horizontal="left" vertical="center"/>
    </xf>
    <xf numFmtId="0" fontId="6" fillId="24" borderId="4" xfId="1" applyFont="1" applyFill="1" applyBorder="1" applyAlignment="1">
      <alignment horizontal="left" vertical="center" wrapText="1"/>
    </xf>
    <xf numFmtId="0" fontId="6" fillId="24" borderId="3" xfId="1" applyFont="1" applyFill="1" applyBorder="1" applyAlignment="1">
      <alignment horizontal="left" vertical="center" wrapText="1"/>
    </xf>
    <xf numFmtId="0" fontId="6" fillId="24" borderId="2" xfId="1" applyFont="1" applyFill="1" applyBorder="1" applyAlignment="1">
      <alignment horizontal="left" vertical="center" wrapText="1"/>
    </xf>
    <xf numFmtId="0" fontId="0" fillId="9" borderId="1" xfId="1" applyFont="1" applyFill="1" applyBorder="1" applyAlignment="1">
      <alignment horizontal="left" vertical="center" wrapText="1"/>
    </xf>
    <xf numFmtId="0" fontId="10" fillId="24" borderId="1" xfId="1" applyFill="1" applyBorder="1" applyAlignment="1">
      <alignment horizontal="left" vertical="center" wrapText="1"/>
    </xf>
    <xf numFmtId="0" fontId="0" fillId="9" borderId="1" xfId="1" applyFont="1" applyFill="1" applyBorder="1" applyAlignment="1">
      <alignment horizontal="left" vertical="center"/>
    </xf>
    <xf numFmtId="0" fontId="0" fillId="25" borderId="1" xfId="1" applyFont="1" applyFill="1" applyBorder="1" applyAlignment="1">
      <alignment horizontal="left" vertical="center"/>
    </xf>
    <xf numFmtId="0" fontId="10" fillId="25" borderId="1" xfId="1" applyFill="1" applyBorder="1" applyAlignment="1">
      <alignment horizontal="left" vertical="center"/>
    </xf>
    <xf numFmtId="0" fontId="0" fillId="25" borderId="1" xfId="1" applyFont="1" applyFill="1" applyBorder="1" applyAlignment="1">
      <alignment horizontal="left" vertical="center" wrapText="1"/>
    </xf>
    <xf numFmtId="0" fontId="10" fillId="25" borderId="1" xfId="1" applyFill="1" applyBorder="1" applyAlignment="1">
      <alignment horizontal="left" vertical="center" wrapText="1"/>
    </xf>
    <xf numFmtId="0" fontId="6" fillId="15" borderId="1" xfId="1" applyFont="1" applyFill="1" applyBorder="1" applyAlignment="1">
      <alignment horizontal="left" vertical="center"/>
    </xf>
    <xf numFmtId="0" fontId="10" fillId="24" borderId="1" xfId="1" applyFill="1" applyBorder="1" applyAlignment="1">
      <alignment horizontal="left" vertical="center"/>
    </xf>
    <xf numFmtId="0" fontId="0" fillId="18" borderId="1" xfId="1" applyFont="1" applyFill="1" applyBorder="1" applyAlignment="1">
      <alignment horizontal="left" vertical="center" wrapText="1"/>
    </xf>
    <xf numFmtId="0" fontId="10" fillId="18" borderId="1" xfId="1" applyFill="1" applyBorder="1" applyAlignment="1">
      <alignment horizontal="left" vertical="center" wrapText="1"/>
    </xf>
    <xf numFmtId="0" fontId="6" fillId="22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 wrapText="1"/>
    </xf>
    <xf numFmtId="0" fontId="0" fillId="0" borderId="1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0" fillId="0" borderId="1" xfId="1" applyFont="1" applyFill="1" applyBorder="1" applyAlignment="1">
      <alignment vertical="center"/>
    </xf>
    <xf numFmtId="0" fontId="1" fillId="4" borderId="1" xfId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 wrapText="1"/>
    </xf>
    <xf numFmtId="0" fontId="5" fillId="18" borderId="1" xfId="1" applyFont="1" applyFill="1" applyBorder="1" applyAlignment="1">
      <alignment vertical="center"/>
    </xf>
    <xf numFmtId="0" fontId="6" fillId="6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4" fontId="10" fillId="0" borderId="1" xfId="0" applyNumberFormat="1" applyFont="1" applyBorder="1" applyAlignment="1">
      <alignment vertical="center"/>
    </xf>
    <xf numFmtId="0" fontId="14" fillId="0" borderId="1" xfId="1" applyFont="1" applyFill="1" applyBorder="1" applyAlignment="1">
      <alignment horizontal="left" vertical="center"/>
    </xf>
    <xf numFmtId="0" fontId="14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6" fillId="12" borderId="1" xfId="1" applyFont="1" applyFill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5" fillId="17" borderId="1" xfId="1" applyFont="1" applyFill="1" applyBorder="1" applyAlignment="1">
      <alignment vertical="center"/>
    </xf>
    <xf numFmtId="0" fontId="5" fillId="19" borderId="1" xfId="1" applyFont="1" applyFill="1" applyBorder="1" applyAlignment="1">
      <alignment vertical="center"/>
    </xf>
    <xf numFmtId="0" fontId="5" fillId="11" borderId="1" xfId="1" applyFont="1" applyFill="1" applyBorder="1" applyAlignment="1">
      <alignment vertical="center"/>
    </xf>
    <xf numFmtId="0" fontId="0" fillId="15" borderId="1" xfId="1" applyFont="1" applyFill="1" applyBorder="1" applyAlignment="1">
      <alignment vertical="center"/>
    </xf>
    <xf numFmtId="0" fontId="10" fillId="15" borderId="1" xfId="1" applyFont="1" applyFill="1" applyBorder="1" applyAlignment="1">
      <alignment vertical="center"/>
    </xf>
    <xf numFmtId="0" fontId="10" fillId="22" borderId="1" xfId="1" applyFont="1" applyFill="1" applyBorder="1" applyAlignment="1">
      <alignment vertical="center"/>
    </xf>
    <xf numFmtId="0" fontId="10" fillId="26" borderId="1" xfId="1" applyFont="1" applyFill="1" applyBorder="1" applyAlignment="1">
      <alignment horizontal="left" vertical="center"/>
    </xf>
    <xf numFmtId="4" fontId="0" fillId="4" borderId="1" xfId="0" applyNumberFormat="1" applyFont="1" applyFill="1" applyBorder="1" applyAlignment="1">
      <alignment vertical="center"/>
    </xf>
    <xf numFmtId="0" fontId="0" fillId="0" borderId="1" xfId="1" applyFont="1" applyFill="1" applyBorder="1" applyAlignment="1">
      <alignment vertical="center" wrapText="1"/>
    </xf>
    <xf numFmtId="0" fontId="0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/>
    </xf>
    <xf numFmtId="0" fontId="6" fillId="5" borderId="1" xfId="1" applyFont="1" applyFill="1" applyBorder="1" applyAlignment="1">
      <alignment vertical="center"/>
    </xf>
    <xf numFmtId="0" fontId="11" fillId="0" borderId="1" xfId="1" applyFont="1" applyBorder="1" applyAlignment="1">
      <alignment horizontal="center" vertical="center"/>
    </xf>
    <xf numFmtId="0" fontId="4" fillId="17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vertical="center"/>
    </xf>
    <xf numFmtId="0" fontId="2" fillId="17" borderId="1" xfId="1" applyFont="1" applyFill="1" applyBorder="1" applyAlignment="1">
      <alignment vertical="center"/>
    </xf>
    <xf numFmtId="0" fontId="6" fillId="19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6" fillId="19" borderId="1" xfId="1" applyFont="1" applyFill="1" applyBorder="1" applyAlignment="1">
      <alignment horizontal="left" vertical="center"/>
    </xf>
    <xf numFmtId="0" fontId="4" fillId="11" borderId="1" xfId="1" applyFont="1" applyFill="1" applyBorder="1" applyAlignment="1">
      <alignment horizontal="left" vertical="center"/>
    </xf>
    <xf numFmtId="0" fontId="10" fillId="4" borderId="1" xfId="1" applyFont="1" applyFill="1" applyBorder="1" applyAlignment="1">
      <alignment vertical="center" wrapText="1"/>
    </xf>
    <xf numFmtId="0" fontId="10" fillId="4" borderId="1" xfId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/>
    </xf>
    <xf numFmtId="0" fontId="0" fillId="4" borderId="1" xfId="1" applyFont="1" applyFill="1" applyBorder="1" applyAlignment="1">
      <alignment horizontal="left" vertical="center" wrapText="1"/>
    </xf>
    <xf numFmtId="0" fontId="6" fillId="6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horizontal="left" vertical="center" wrapText="1"/>
    </xf>
    <xf numFmtId="0" fontId="6" fillId="10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4" fontId="0" fillId="18" borderId="1" xfId="0" applyNumberFormat="1" applyFill="1" applyBorder="1" applyAlignment="1">
      <alignment vertical="center"/>
    </xf>
    <xf numFmtId="4" fontId="10" fillId="18" borderId="1" xfId="0" applyNumberFormat="1" applyFont="1" applyFill="1" applyBorder="1" applyAlignment="1">
      <alignment vertical="center"/>
    </xf>
    <xf numFmtId="165" fontId="6" fillId="0" borderId="1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horizontal="left" vertical="center"/>
    </xf>
    <xf numFmtId="0" fontId="6" fillId="20" borderId="1" xfId="1" applyFont="1" applyFill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0" fontId="0" fillId="18" borderId="1" xfId="1" applyFont="1" applyFill="1" applyBorder="1" applyAlignment="1">
      <alignment vertical="center" wrapText="1"/>
    </xf>
    <xf numFmtId="0" fontId="10" fillId="18" borderId="1" xfId="1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vertical="center" wrapText="1"/>
    </xf>
    <xf numFmtId="0" fontId="10" fillId="0" borderId="1" xfId="1" applyFont="1" applyBorder="1" applyAlignment="1">
      <alignment horizontal="left" vertical="center" wrapText="1"/>
    </xf>
    <xf numFmtId="0" fontId="19" fillId="0" borderId="0" xfId="1" applyFont="1" applyBorder="1" applyAlignment="1">
      <alignment horizontal="left" vertical="center"/>
    </xf>
    <xf numFmtId="0" fontId="6" fillId="14" borderId="1" xfId="1" applyFont="1" applyFill="1" applyBorder="1" applyAlignment="1">
      <alignment horizontal="left" vertical="center"/>
    </xf>
    <xf numFmtId="0" fontId="10" fillId="9" borderId="1" xfId="1" applyFill="1" applyBorder="1" applyAlignment="1">
      <alignment horizontal="left" vertical="center"/>
    </xf>
    <xf numFmtId="0" fontId="10" fillId="9" borderId="1" xfId="1" applyFill="1" applyBorder="1" applyAlignment="1">
      <alignment horizontal="left" vertical="center" wrapText="1"/>
    </xf>
    <xf numFmtId="0" fontId="10" fillId="0" borderId="1" xfId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0" fillId="27" borderId="1" xfId="1" applyFont="1" applyFill="1" applyBorder="1" applyAlignment="1">
      <alignment horizontal="left" vertical="center"/>
    </xf>
    <xf numFmtId="0" fontId="10" fillId="27" borderId="1" xfId="1" applyFill="1" applyBorder="1" applyAlignment="1">
      <alignment horizontal="left" vertical="center"/>
    </xf>
    <xf numFmtId="0" fontId="6" fillId="24" borderId="1" xfId="1" applyFont="1" applyFill="1" applyBorder="1" applyAlignment="1">
      <alignment horizontal="left" vertical="center" wrapText="1"/>
    </xf>
    <xf numFmtId="0" fontId="6" fillId="18" borderId="1" xfId="1" applyFont="1" applyFill="1" applyBorder="1" applyAlignment="1">
      <alignment horizontal="left" vertical="center" wrapText="1"/>
    </xf>
  </cellXfs>
  <cellStyles count="4">
    <cellStyle name="Excel Built-in Normal" xfId="1" xr:uid="{00000000-0005-0000-0000-000000000000}"/>
    <cellStyle name="Normální" xfId="0" builtinId="0"/>
    <cellStyle name="Normální 10" xfId="2" xr:uid="{00000000-0005-0000-0000-000002000000}"/>
    <cellStyle name="Normální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E64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336"/>
  <sheetViews>
    <sheetView tabSelected="1" view="pageBreakPreview" topLeftCell="A90" zoomScale="75" zoomScaleNormal="75" zoomScaleSheetLayoutView="75" workbookViewId="0">
      <selection activeCell="I312" sqref="I312:I317"/>
    </sheetView>
  </sheetViews>
  <sheetFormatPr defaultRowHeight="14.25" x14ac:dyDescent="0.2"/>
  <cols>
    <col min="1" max="1" width="14.140625" style="3" customWidth="1"/>
    <col min="2" max="2" width="47.140625" style="1" customWidth="1"/>
    <col min="3" max="3" width="75.5703125" style="1" customWidth="1"/>
    <col min="4" max="4" width="12.85546875" style="29" customWidth="1"/>
    <col min="5" max="6" width="11" style="29" customWidth="1"/>
    <col min="7" max="7" width="13.140625" style="3" customWidth="1"/>
    <col min="8" max="8" width="12.5703125" style="3" customWidth="1"/>
    <col min="9" max="9" width="16.85546875" style="4" customWidth="1"/>
    <col min="10" max="10" width="21.28515625" style="101" customWidth="1"/>
    <col min="11" max="11" width="9.140625" style="176"/>
    <col min="12" max="12" width="23" style="176" customWidth="1"/>
    <col min="13" max="13" width="17.7109375" style="176" bestFit="1" customWidth="1"/>
    <col min="14" max="14" width="28" style="176" customWidth="1"/>
    <col min="15" max="15" width="14.5703125" style="176" bestFit="1" customWidth="1"/>
    <col min="16" max="45" width="9.140625" style="176"/>
    <col min="46" max="16384" width="9.140625" style="2"/>
  </cols>
  <sheetData>
    <row r="1" spans="1:45" ht="24.95" customHeight="1" x14ac:dyDescent="0.2">
      <c r="A1" s="319" t="s">
        <v>374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45" s="63" customFormat="1" ht="35.1" customHeight="1" x14ac:dyDescent="0.2">
      <c r="A2" s="62"/>
      <c r="B2" s="320" t="s">
        <v>0</v>
      </c>
      <c r="C2" s="320"/>
      <c r="D2" s="320"/>
      <c r="E2" s="320"/>
      <c r="F2" s="320"/>
      <c r="G2" s="320"/>
      <c r="H2" s="320"/>
      <c r="I2" s="320"/>
      <c r="J2" s="320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</row>
    <row r="3" spans="1:45" s="47" customFormat="1" ht="24.95" customHeight="1" x14ac:dyDescent="0.2">
      <c r="A3" s="293"/>
      <c r="B3" s="243" t="s">
        <v>1</v>
      </c>
      <c r="C3" s="243" t="s">
        <v>2</v>
      </c>
      <c r="D3" s="294" t="s">
        <v>3</v>
      </c>
      <c r="E3" s="243" t="s">
        <v>100</v>
      </c>
      <c r="F3" s="243"/>
      <c r="G3" s="243"/>
      <c r="H3" s="243"/>
      <c r="I3" s="244" t="s">
        <v>4</v>
      </c>
      <c r="J3" s="245" t="s">
        <v>101</v>
      </c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</row>
    <row r="4" spans="1:45" ht="24.95" customHeight="1" x14ac:dyDescent="0.2">
      <c r="A4" s="293"/>
      <c r="B4" s="243"/>
      <c r="C4" s="243"/>
      <c r="D4" s="294"/>
      <c r="E4" s="138" t="s">
        <v>244</v>
      </c>
      <c r="F4" s="138" t="s">
        <v>245</v>
      </c>
      <c r="G4" s="138" t="s">
        <v>246</v>
      </c>
      <c r="H4" s="177" t="s">
        <v>9</v>
      </c>
      <c r="I4" s="244"/>
      <c r="J4" s="245"/>
    </row>
    <row r="5" spans="1:45" ht="24.95" customHeight="1" x14ac:dyDescent="0.2">
      <c r="A5" s="43"/>
      <c r="B5" s="321" t="s">
        <v>5</v>
      </c>
      <c r="C5" s="321"/>
      <c r="D5" s="321"/>
      <c r="E5" s="321"/>
      <c r="F5" s="321"/>
      <c r="G5" s="321"/>
      <c r="H5" s="321"/>
      <c r="I5" s="321"/>
      <c r="J5" s="321"/>
    </row>
    <row r="6" spans="1:45" s="1" customFormat="1" ht="24.95" customHeight="1" x14ac:dyDescent="0.2">
      <c r="A6" s="43"/>
      <c r="B6" s="117" t="s">
        <v>247</v>
      </c>
      <c r="C6" s="117" t="s">
        <v>248</v>
      </c>
      <c r="D6" s="114" t="s">
        <v>249</v>
      </c>
      <c r="E6" s="43">
        <v>6</v>
      </c>
      <c r="F6" s="43"/>
      <c r="G6" s="43"/>
      <c r="H6" s="116">
        <f>SUM(E6:G6)</f>
        <v>6</v>
      </c>
      <c r="I6" s="219"/>
      <c r="J6" s="118">
        <f>H6*I6</f>
        <v>0</v>
      </c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</row>
    <row r="7" spans="1:45" s="1" customFormat="1" ht="24.95" customHeight="1" x14ac:dyDescent="0.2">
      <c r="A7" s="43"/>
      <c r="B7" s="117" t="s">
        <v>250</v>
      </c>
      <c r="C7" s="117" t="s">
        <v>251</v>
      </c>
      <c r="D7" s="114" t="s">
        <v>249</v>
      </c>
      <c r="E7" s="115">
        <v>2</v>
      </c>
      <c r="F7" s="115">
        <v>2</v>
      </c>
      <c r="G7" s="115">
        <v>2</v>
      </c>
      <c r="H7" s="116">
        <f t="shared" ref="H7:H10" si="0">SUM(E7:G7)</f>
        <v>6</v>
      </c>
      <c r="I7" s="219"/>
      <c r="J7" s="118">
        <f t="shared" ref="J7:J10" si="1">H7*I7</f>
        <v>0</v>
      </c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</row>
    <row r="8" spans="1:45" s="1" customFormat="1" ht="24.95" customHeight="1" x14ac:dyDescent="0.2">
      <c r="A8" s="43"/>
      <c r="B8" s="117" t="s">
        <v>252</v>
      </c>
      <c r="C8" s="117" t="s">
        <v>253</v>
      </c>
      <c r="D8" s="114" t="s">
        <v>249</v>
      </c>
      <c r="E8" s="115"/>
      <c r="F8" s="115">
        <v>8</v>
      </c>
      <c r="G8" s="115"/>
      <c r="H8" s="116">
        <f t="shared" si="0"/>
        <v>8</v>
      </c>
      <c r="I8" s="219"/>
      <c r="J8" s="118">
        <f t="shared" si="1"/>
        <v>0</v>
      </c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</row>
    <row r="9" spans="1:45" s="1" customFormat="1" ht="24.95" customHeight="1" x14ac:dyDescent="0.2">
      <c r="A9" s="43"/>
      <c r="B9" s="117" t="s">
        <v>254</v>
      </c>
      <c r="C9" s="117" t="s">
        <v>255</v>
      </c>
      <c r="D9" s="114" t="s">
        <v>249</v>
      </c>
      <c r="E9" s="115">
        <v>4</v>
      </c>
      <c r="F9" s="115"/>
      <c r="G9" s="115"/>
      <c r="H9" s="116">
        <f t="shared" si="0"/>
        <v>4</v>
      </c>
      <c r="I9" s="219"/>
      <c r="J9" s="118">
        <f t="shared" si="1"/>
        <v>0</v>
      </c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</row>
    <row r="10" spans="1:45" s="1" customFormat="1" ht="24.95" customHeight="1" x14ac:dyDescent="0.2">
      <c r="A10" s="43"/>
      <c r="B10" s="117" t="s">
        <v>256</v>
      </c>
      <c r="C10" s="117" t="s">
        <v>257</v>
      </c>
      <c r="D10" s="114" t="s">
        <v>249</v>
      </c>
      <c r="E10" s="115">
        <v>1</v>
      </c>
      <c r="F10" s="115"/>
      <c r="G10" s="115"/>
      <c r="H10" s="116">
        <f t="shared" si="0"/>
        <v>1</v>
      </c>
      <c r="I10" s="219"/>
      <c r="J10" s="118">
        <f t="shared" si="1"/>
        <v>0</v>
      </c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</row>
    <row r="11" spans="1:45" ht="24.95" customHeight="1" x14ac:dyDescent="0.2">
      <c r="A11" s="43"/>
      <c r="B11" s="291" t="s">
        <v>6</v>
      </c>
      <c r="C11" s="291"/>
      <c r="D11" s="30"/>
      <c r="E11" s="125">
        <f>SUM(E6:E10)</f>
        <v>13</v>
      </c>
      <c r="F11" s="125">
        <f>SUM(F7:F10)</f>
        <v>10</v>
      </c>
      <c r="G11" s="125">
        <f>SUM(G7:G10)</f>
        <v>2</v>
      </c>
      <c r="H11" s="125">
        <f>SUM(H6:H10)</f>
        <v>25</v>
      </c>
      <c r="I11" s="137"/>
      <c r="J11" s="84">
        <f>SUM(J6:J10)</f>
        <v>0</v>
      </c>
    </row>
    <row r="12" spans="1:45" ht="24.95" customHeight="1" x14ac:dyDescent="0.2">
      <c r="A12" s="43"/>
      <c r="B12" s="350" t="s">
        <v>39</v>
      </c>
      <c r="C12" s="350"/>
      <c r="D12" s="350"/>
      <c r="E12" s="350"/>
      <c r="F12" s="350"/>
      <c r="G12" s="350"/>
      <c r="H12" s="350"/>
      <c r="I12" s="350"/>
      <c r="J12" s="350"/>
    </row>
    <row r="13" spans="1:45" s="1" customFormat="1" ht="24.95" customHeight="1" x14ac:dyDescent="0.2">
      <c r="A13" s="43"/>
      <c r="B13" s="117" t="s">
        <v>258</v>
      </c>
      <c r="C13" s="117" t="s">
        <v>259</v>
      </c>
      <c r="D13" s="119" t="s">
        <v>260</v>
      </c>
      <c r="E13" s="178"/>
      <c r="F13" s="179"/>
      <c r="G13" s="120">
        <v>44</v>
      </c>
      <c r="H13" s="104">
        <f>SUM(G13)</f>
        <v>44</v>
      </c>
      <c r="I13" s="220"/>
      <c r="J13" s="83">
        <f>H13*I13</f>
        <v>0</v>
      </c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</row>
    <row r="14" spans="1:45" ht="24.95" customHeight="1" x14ac:dyDescent="0.2">
      <c r="A14" s="43"/>
      <c r="B14" s="291" t="s">
        <v>99</v>
      </c>
      <c r="C14" s="291"/>
      <c r="D14" s="33"/>
      <c r="E14" s="33"/>
      <c r="F14" s="33"/>
      <c r="G14" s="127">
        <f>SUM(G13)</f>
        <v>44</v>
      </c>
      <c r="H14" s="33"/>
      <c r="I14" s="33"/>
      <c r="J14" s="84">
        <f>SUM(J13:J13)</f>
        <v>0</v>
      </c>
    </row>
    <row r="15" spans="1:45" ht="24.95" customHeight="1" x14ac:dyDescent="0.2">
      <c r="A15" s="43"/>
      <c r="B15" s="253" t="s">
        <v>97</v>
      </c>
      <c r="C15" s="253"/>
      <c r="D15" s="253"/>
      <c r="E15" s="253"/>
      <c r="F15" s="253"/>
      <c r="G15" s="253"/>
      <c r="H15" s="253"/>
      <c r="I15" s="253"/>
      <c r="J15" s="253"/>
    </row>
    <row r="16" spans="1:45" ht="24.95" customHeight="1" x14ac:dyDescent="0.2">
      <c r="A16" s="43"/>
      <c r="B16" s="117" t="s">
        <v>272</v>
      </c>
      <c r="C16" s="117" t="s">
        <v>273</v>
      </c>
      <c r="D16" s="121" t="s">
        <v>274</v>
      </c>
      <c r="E16" s="124">
        <v>2</v>
      </c>
      <c r="F16" s="113"/>
      <c r="G16" s="113"/>
      <c r="H16" s="122">
        <f>SUM(E16:G16)</f>
        <v>2</v>
      </c>
      <c r="I16" s="219"/>
      <c r="J16" s="83">
        <f>H16*I16</f>
        <v>0</v>
      </c>
    </row>
    <row r="17" spans="1:45" ht="24.95" customHeight="1" x14ac:dyDescent="0.2">
      <c r="A17" s="43"/>
      <c r="B17" s="117" t="s">
        <v>275</v>
      </c>
      <c r="C17" s="117" t="s">
        <v>276</v>
      </c>
      <c r="D17" s="121" t="s">
        <v>274</v>
      </c>
      <c r="E17" s="124">
        <v>6</v>
      </c>
      <c r="F17" s="113"/>
      <c r="G17" s="113"/>
      <c r="H17" s="122">
        <f t="shared" ref="H17:H22" si="2">SUM(E17:G17)</f>
        <v>6</v>
      </c>
      <c r="I17" s="219"/>
      <c r="J17" s="83">
        <f t="shared" ref="J17:J22" si="3">H17*I17</f>
        <v>0</v>
      </c>
    </row>
    <row r="18" spans="1:45" ht="24.95" customHeight="1" x14ac:dyDescent="0.2">
      <c r="A18" s="43"/>
      <c r="B18" s="117" t="s">
        <v>277</v>
      </c>
      <c r="C18" s="117" t="s">
        <v>278</v>
      </c>
      <c r="D18" s="121" t="s">
        <v>274</v>
      </c>
      <c r="E18" s="43"/>
      <c r="F18" s="43"/>
      <c r="G18" s="43">
        <v>31</v>
      </c>
      <c r="H18" s="122">
        <f t="shared" si="2"/>
        <v>31</v>
      </c>
      <c r="I18" s="219"/>
      <c r="J18" s="83">
        <f t="shared" si="3"/>
        <v>0</v>
      </c>
    </row>
    <row r="19" spans="1:45" ht="24.95" customHeight="1" x14ac:dyDescent="0.2">
      <c r="A19" s="43"/>
      <c r="B19" s="117" t="s">
        <v>279</v>
      </c>
      <c r="C19" s="117" t="s">
        <v>278</v>
      </c>
      <c r="D19" s="121" t="s">
        <v>274</v>
      </c>
      <c r="E19" s="115"/>
      <c r="F19" s="115">
        <v>202</v>
      </c>
      <c r="G19" s="115">
        <v>16</v>
      </c>
      <c r="H19" s="122">
        <f t="shared" si="2"/>
        <v>218</v>
      </c>
      <c r="I19" s="219"/>
      <c r="J19" s="83">
        <f t="shared" si="3"/>
        <v>0</v>
      </c>
    </row>
    <row r="20" spans="1:45" ht="24.95" customHeight="1" x14ac:dyDescent="0.2">
      <c r="A20" s="43"/>
      <c r="B20" s="117" t="s">
        <v>280</v>
      </c>
      <c r="C20" s="117" t="s">
        <v>281</v>
      </c>
      <c r="D20" s="121" t="s">
        <v>274</v>
      </c>
      <c r="E20" s="115"/>
      <c r="F20" s="115"/>
      <c r="G20" s="115">
        <v>20</v>
      </c>
      <c r="H20" s="122">
        <f t="shared" si="2"/>
        <v>20</v>
      </c>
      <c r="I20" s="219"/>
      <c r="J20" s="83">
        <f t="shared" si="3"/>
        <v>0</v>
      </c>
    </row>
    <row r="21" spans="1:45" ht="24.95" customHeight="1" x14ac:dyDescent="0.2">
      <c r="A21" s="43"/>
      <c r="B21" s="117" t="s">
        <v>282</v>
      </c>
      <c r="C21" s="117" t="s">
        <v>283</v>
      </c>
      <c r="D21" s="121" t="s">
        <v>274</v>
      </c>
      <c r="E21" s="115"/>
      <c r="F21" s="115">
        <v>102</v>
      </c>
      <c r="G21" s="115"/>
      <c r="H21" s="122">
        <f t="shared" si="2"/>
        <v>102</v>
      </c>
      <c r="I21" s="219"/>
      <c r="J21" s="83">
        <f t="shared" si="3"/>
        <v>0</v>
      </c>
    </row>
    <row r="22" spans="1:45" ht="24.95" customHeight="1" x14ac:dyDescent="0.2">
      <c r="A22" s="43"/>
      <c r="B22" s="117" t="s">
        <v>284</v>
      </c>
      <c r="C22" s="117" t="s">
        <v>285</v>
      </c>
      <c r="D22" s="119" t="s">
        <v>286</v>
      </c>
      <c r="E22" s="115">
        <v>1191</v>
      </c>
      <c r="F22" s="115"/>
      <c r="G22" s="115"/>
      <c r="H22" s="122">
        <f t="shared" si="2"/>
        <v>1191</v>
      </c>
      <c r="I22" s="219"/>
      <c r="J22" s="83">
        <f t="shared" si="3"/>
        <v>0</v>
      </c>
    </row>
    <row r="23" spans="1:45" ht="24.95" customHeight="1" x14ac:dyDescent="0.2">
      <c r="A23" s="43"/>
      <c r="B23" s="291" t="s">
        <v>185</v>
      </c>
      <c r="C23" s="291"/>
      <c r="D23" s="33"/>
      <c r="E23" s="125">
        <f>SUM(E16:E22)</f>
        <v>1199</v>
      </c>
      <c r="F23" s="125">
        <f t="shared" ref="F23:H23" si="4">SUM(F16:F22)</f>
        <v>304</v>
      </c>
      <c r="G23" s="125">
        <f t="shared" si="4"/>
        <v>67</v>
      </c>
      <c r="H23" s="125">
        <f t="shared" si="4"/>
        <v>1570</v>
      </c>
      <c r="I23" s="33"/>
      <c r="J23" s="84">
        <f>SUM(J16:J22)</f>
        <v>0</v>
      </c>
    </row>
    <row r="24" spans="1:45" ht="24.95" customHeight="1" x14ac:dyDescent="0.2">
      <c r="A24" s="43"/>
      <c r="B24" s="253" t="s">
        <v>219</v>
      </c>
      <c r="C24" s="253"/>
      <c r="D24" s="253"/>
      <c r="E24" s="253"/>
      <c r="F24" s="253"/>
      <c r="G24" s="253"/>
      <c r="H24" s="253"/>
      <c r="I24" s="253"/>
      <c r="J24" s="253"/>
    </row>
    <row r="25" spans="1:45" ht="24.95" customHeight="1" x14ac:dyDescent="0.2">
      <c r="A25" s="43"/>
      <c r="B25" s="117" t="s">
        <v>261</v>
      </c>
      <c r="C25" s="117" t="s">
        <v>262</v>
      </c>
      <c r="D25" s="121" t="s">
        <v>260</v>
      </c>
      <c r="E25" s="124"/>
      <c r="F25" s="43"/>
      <c r="G25" s="43">
        <v>2</v>
      </c>
      <c r="H25" s="122">
        <f>SUM(E25:G25)</f>
        <v>2</v>
      </c>
      <c r="I25" s="219"/>
      <c r="J25" s="123">
        <f>H25*I25</f>
        <v>0</v>
      </c>
    </row>
    <row r="26" spans="1:45" ht="24.95" customHeight="1" x14ac:dyDescent="0.2">
      <c r="A26" s="43"/>
      <c r="B26" s="117" t="s">
        <v>263</v>
      </c>
      <c r="C26" s="117" t="s">
        <v>264</v>
      </c>
      <c r="D26" s="121" t="s">
        <v>265</v>
      </c>
      <c r="E26" s="124"/>
      <c r="F26" s="115">
        <v>81</v>
      </c>
      <c r="G26" s="115"/>
      <c r="H26" s="122">
        <f t="shared" ref="H26:H29" si="5">SUM(E26:G26)</f>
        <v>81</v>
      </c>
      <c r="I26" s="219"/>
      <c r="J26" s="123">
        <f t="shared" ref="J26:J29" si="6">H26*I26</f>
        <v>0</v>
      </c>
    </row>
    <row r="27" spans="1:45" ht="24.95" customHeight="1" x14ac:dyDescent="0.2">
      <c r="A27" s="43"/>
      <c r="B27" s="117" t="s">
        <v>266</v>
      </c>
      <c r="C27" s="117" t="s">
        <v>267</v>
      </c>
      <c r="D27" s="121" t="s">
        <v>265</v>
      </c>
      <c r="E27" s="124"/>
      <c r="F27" s="115"/>
      <c r="G27" s="115">
        <v>18</v>
      </c>
      <c r="H27" s="122">
        <f t="shared" si="5"/>
        <v>18</v>
      </c>
      <c r="I27" s="219"/>
      <c r="J27" s="123">
        <f t="shared" si="6"/>
        <v>0</v>
      </c>
    </row>
    <row r="28" spans="1:45" ht="24.95" customHeight="1" x14ac:dyDescent="0.2">
      <c r="A28" s="43"/>
      <c r="B28" s="117" t="s">
        <v>268</v>
      </c>
      <c r="C28" s="117" t="s">
        <v>269</v>
      </c>
      <c r="D28" s="121" t="s">
        <v>265</v>
      </c>
      <c r="E28" s="124"/>
      <c r="F28" s="115"/>
      <c r="G28" s="115">
        <v>22</v>
      </c>
      <c r="H28" s="122">
        <f t="shared" si="5"/>
        <v>22</v>
      </c>
      <c r="I28" s="219"/>
      <c r="J28" s="123">
        <f t="shared" si="6"/>
        <v>0</v>
      </c>
    </row>
    <row r="29" spans="1:45" ht="24.95" customHeight="1" x14ac:dyDescent="0.2">
      <c r="A29" s="43"/>
      <c r="B29" s="117" t="s">
        <v>270</v>
      </c>
      <c r="C29" s="117" t="s">
        <v>271</v>
      </c>
      <c r="D29" s="121" t="s">
        <v>265</v>
      </c>
      <c r="E29" s="124"/>
      <c r="F29" s="115"/>
      <c r="G29" s="115">
        <v>28</v>
      </c>
      <c r="H29" s="122">
        <f t="shared" si="5"/>
        <v>28</v>
      </c>
      <c r="I29" s="219"/>
      <c r="J29" s="123">
        <f t="shared" si="6"/>
        <v>0</v>
      </c>
    </row>
    <row r="30" spans="1:45" ht="24.95" customHeight="1" x14ac:dyDescent="0.2">
      <c r="A30" s="43"/>
      <c r="B30" s="291" t="s">
        <v>220</v>
      </c>
      <c r="C30" s="291"/>
      <c r="D30" s="33"/>
      <c r="E30" s="33"/>
      <c r="F30" s="105">
        <f>SUM(F26:F29)</f>
        <v>81</v>
      </c>
      <c r="G30" s="105">
        <f>SUM(G25:G29)</f>
        <v>70</v>
      </c>
      <c r="H30" s="105">
        <f>SUM(H25:H29)</f>
        <v>151</v>
      </c>
      <c r="I30" s="33"/>
      <c r="J30" s="84">
        <f>SUM(J25:J29)</f>
        <v>0</v>
      </c>
    </row>
    <row r="31" spans="1:45" s="47" customFormat="1" ht="24.95" customHeight="1" x14ac:dyDescent="0.2">
      <c r="A31" s="293"/>
      <c r="B31" s="243" t="s">
        <v>1</v>
      </c>
      <c r="C31" s="243" t="s">
        <v>2</v>
      </c>
      <c r="D31" s="294" t="s">
        <v>3</v>
      </c>
      <c r="E31" s="243" t="s">
        <v>100</v>
      </c>
      <c r="F31" s="243"/>
      <c r="G31" s="243"/>
      <c r="H31" s="243"/>
      <c r="I31" s="244" t="s">
        <v>4</v>
      </c>
      <c r="J31" s="245" t="s">
        <v>101</v>
      </c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</row>
    <row r="32" spans="1:45" ht="24.95" customHeight="1" x14ac:dyDescent="0.2">
      <c r="A32" s="293"/>
      <c r="B32" s="243"/>
      <c r="C32" s="243"/>
      <c r="D32" s="294"/>
      <c r="E32" s="138" t="s">
        <v>244</v>
      </c>
      <c r="F32" s="138" t="s">
        <v>245</v>
      </c>
      <c r="G32" s="138" t="s">
        <v>246</v>
      </c>
      <c r="H32" s="177" t="s">
        <v>9</v>
      </c>
      <c r="I32" s="244"/>
      <c r="J32" s="245"/>
    </row>
    <row r="33" spans="1:45" ht="24.95" customHeight="1" x14ac:dyDescent="0.2">
      <c r="A33" s="43"/>
      <c r="B33" s="253" t="s">
        <v>221</v>
      </c>
      <c r="C33" s="253"/>
      <c r="D33" s="253"/>
      <c r="E33" s="253"/>
      <c r="F33" s="253"/>
      <c r="G33" s="253"/>
      <c r="H33" s="253"/>
      <c r="I33" s="253"/>
      <c r="J33" s="253"/>
    </row>
    <row r="34" spans="1:45" ht="24.95" customHeight="1" x14ac:dyDescent="0.2">
      <c r="A34" s="43"/>
      <c r="B34" s="117" t="s">
        <v>287</v>
      </c>
      <c r="C34" s="117" t="s">
        <v>288</v>
      </c>
      <c r="D34" s="119" t="s">
        <v>289</v>
      </c>
      <c r="E34" s="126">
        <v>14</v>
      </c>
      <c r="F34" s="126"/>
      <c r="G34" s="126"/>
      <c r="H34" s="126">
        <f>SUM(E34:G34)</f>
        <v>14</v>
      </c>
      <c r="I34" s="219"/>
      <c r="J34" s="123">
        <f>H34*I34</f>
        <v>0</v>
      </c>
    </row>
    <row r="35" spans="1:45" ht="24.95" customHeight="1" x14ac:dyDescent="0.2">
      <c r="A35" s="43"/>
      <c r="B35" s="117" t="s">
        <v>290</v>
      </c>
      <c r="C35" s="117" t="s">
        <v>291</v>
      </c>
      <c r="D35" s="119" t="s">
        <v>289</v>
      </c>
      <c r="E35" s="126">
        <v>13</v>
      </c>
      <c r="F35" s="126"/>
      <c r="G35" s="126">
        <v>53</v>
      </c>
      <c r="H35" s="126">
        <f t="shared" ref="H35:H42" si="7">SUM(E35:G35)</f>
        <v>66</v>
      </c>
      <c r="I35" s="219"/>
      <c r="J35" s="123">
        <f t="shared" ref="J35:J42" si="8">H35*I35</f>
        <v>0</v>
      </c>
    </row>
    <row r="36" spans="1:45" ht="24.95" customHeight="1" x14ac:dyDescent="0.2">
      <c r="A36" s="43"/>
      <c r="B36" s="117" t="s">
        <v>292</v>
      </c>
      <c r="C36" s="117" t="s">
        <v>293</v>
      </c>
      <c r="D36" s="119" t="s">
        <v>289</v>
      </c>
      <c r="E36" s="126">
        <v>5</v>
      </c>
      <c r="F36" s="126"/>
      <c r="G36" s="126"/>
      <c r="H36" s="126">
        <f t="shared" si="7"/>
        <v>5</v>
      </c>
      <c r="I36" s="219"/>
      <c r="J36" s="123">
        <f t="shared" si="8"/>
        <v>0</v>
      </c>
    </row>
    <row r="37" spans="1:45" ht="24.95" customHeight="1" x14ac:dyDescent="0.2">
      <c r="A37" s="43"/>
      <c r="B37" s="117" t="s">
        <v>294</v>
      </c>
      <c r="C37" s="117" t="s">
        <v>295</v>
      </c>
      <c r="D37" s="119" t="s">
        <v>289</v>
      </c>
      <c r="E37" s="126">
        <v>7</v>
      </c>
      <c r="F37" s="126"/>
      <c r="G37" s="126"/>
      <c r="H37" s="126">
        <f t="shared" si="7"/>
        <v>7</v>
      </c>
      <c r="I37" s="219"/>
      <c r="J37" s="123">
        <f t="shared" si="8"/>
        <v>0</v>
      </c>
    </row>
    <row r="38" spans="1:45" ht="24.95" customHeight="1" x14ac:dyDescent="0.2">
      <c r="A38" s="43"/>
      <c r="B38" s="117" t="s">
        <v>296</v>
      </c>
      <c r="C38" s="117" t="s">
        <v>297</v>
      </c>
      <c r="D38" s="119" t="s">
        <v>289</v>
      </c>
      <c r="E38" s="126">
        <v>14</v>
      </c>
      <c r="F38" s="126"/>
      <c r="G38" s="126">
        <v>26</v>
      </c>
      <c r="H38" s="126">
        <f t="shared" si="7"/>
        <v>40</v>
      </c>
      <c r="I38" s="219"/>
      <c r="J38" s="123">
        <f t="shared" si="8"/>
        <v>0</v>
      </c>
    </row>
    <row r="39" spans="1:45" ht="24.95" customHeight="1" x14ac:dyDescent="0.2">
      <c r="A39" s="43"/>
      <c r="B39" s="117" t="s">
        <v>298</v>
      </c>
      <c r="C39" s="117" t="s">
        <v>293</v>
      </c>
      <c r="D39" s="119" t="s">
        <v>289</v>
      </c>
      <c r="E39" s="126">
        <v>11</v>
      </c>
      <c r="F39" s="126"/>
      <c r="G39" s="126">
        <v>46</v>
      </c>
      <c r="H39" s="126">
        <f t="shared" si="7"/>
        <v>57</v>
      </c>
      <c r="I39" s="219"/>
      <c r="J39" s="123">
        <f t="shared" si="8"/>
        <v>0</v>
      </c>
    </row>
    <row r="40" spans="1:45" ht="24.95" customHeight="1" x14ac:dyDescent="0.2">
      <c r="A40" s="43"/>
      <c r="B40" s="117" t="s">
        <v>299</v>
      </c>
      <c r="C40" s="117" t="s">
        <v>300</v>
      </c>
      <c r="D40" s="119" t="s">
        <v>289</v>
      </c>
      <c r="E40" s="126">
        <v>21</v>
      </c>
      <c r="F40" s="126"/>
      <c r="G40" s="126">
        <v>56</v>
      </c>
      <c r="H40" s="126">
        <f t="shared" si="7"/>
        <v>77</v>
      </c>
      <c r="I40" s="219"/>
      <c r="J40" s="123">
        <f t="shared" si="8"/>
        <v>0</v>
      </c>
    </row>
    <row r="41" spans="1:45" ht="24.95" customHeight="1" x14ac:dyDescent="0.2">
      <c r="A41" s="43"/>
      <c r="B41" s="117" t="s">
        <v>301</v>
      </c>
      <c r="C41" s="117" t="s">
        <v>302</v>
      </c>
      <c r="D41" s="119" t="s">
        <v>289</v>
      </c>
      <c r="E41" s="126">
        <v>19</v>
      </c>
      <c r="F41" s="126"/>
      <c r="G41" s="126">
        <v>36</v>
      </c>
      <c r="H41" s="126">
        <f t="shared" si="7"/>
        <v>55</v>
      </c>
      <c r="I41" s="219"/>
      <c r="J41" s="123">
        <f t="shared" si="8"/>
        <v>0</v>
      </c>
    </row>
    <row r="42" spans="1:45" s="1" customFormat="1" ht="24.95" customHeight="1" x14ac:dyDescent="0.2">
      <c r="A42" s="43"/>
      <c r="B42" s="117" t="s">
        <v>303</v>
      </c>
      <c r="C42" s="117" t="s">
        <v>304</v>
      </c>
      <c r="D42" s="119" t="s">
        <v>289</v>
      </c>
      <c r="E42" s="126">
        <v>16</v>
      </c>
      <c r="F42" s="126"/>
      <c r="G42" s="126"/>
      <c r="H42" s="126">
        <f t="shared" si="7"/>
        <v>16</v>
      </c>
      <c r="I42" s="219"/>
      <c r="J42" s="123">
        <f t="shared" si="8"/>
        <v>0</v>
      </c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</row>
    <row r="43" spans="1:45" ht="24.95" customHeight="1" x14ac:dyDescent="0.2">
      <c r="A43" s="43"/>
      <c r="B43" s="291" t="s">
        <v>222</v>
      </c>
      <c r="C43" s="291"/>
      <c r="D43" s="33"/>
      <c r="E43" s="106">
        <f>SUM(E34:E42)</f>
        <v>120</v>
      </c>
      <c r="F43" s="106"/>
      <c r="G43" s="127">
        <f>SUM(G34:G42)</f>
        <v>217</v>
      </c>
      <c r="H43" s="127">
        <f>SUM(H34:H42)</f>
        <v>337</v>
      </c>
      <c r="I43" s="106"/>
      <c r="J43" s="84">
        <f>SUM(J34:J42)</f>
        <v>0</v>
      </c>
    </row>
    <row r="44" spans="1:45" ht="24.95" customHeight="1" x14ac:dyDescent="0.2">
      <c r="A44" s="43"/>
      <c r="B44" s="325" t="s">
        <v>238</v>
      </c>
      <c r="C44" s="325"/>
      <c r="D44" s="103" t="s">
        <v>239</v>
      </c>
      <c r="E44" s="103"/>
      <c r="F44" s="103"/>
      <c r="G44" s="33"/>
      <c r="H44" s="33"/>
      <c r="I44" s="33"/>
      <c r="J44" s="84">
        <f>(J43+J30+J23+J14+J11)*0.1</f>
        <v>0</v>
      </c>
    </row>
    <row r="45" spans="1:45" s="63" customFormat="1" ht="35.1" customHeight="1" x14ac:dyDescent="0.2">
      <c r="A45" s="64"/>
      <c r="B45" s="323" t="s">
        <v>305</v>
      </c>
      <c r="C45" s="323" t="s">
        <v>7</v>
      </c>
      <c r="D45" s="323"/>
      <c r="E45" s="323"/>
      <c r="F45" s="323"/>
      <c r="G45" s="323"/>
      <c r="H45" s="323"/>
      <c r="I45" s="323"/>
      <c r="J45" s="180">
        <f>SUM(J44,J43,J30,J23,J14,J11)</f>
        <v>0</v>
      </c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</row>
    <row r="46" spans="1:45" s="71" customFormat="1" ht="35.1" customHeight="1" x14ac:dyDescent="0.25">
      <c r="A46" s="70"/>
      <c r="B46" s="324" t="s">
        <v>187</v>
      </c>
      <c r="C46" s="324"/>
      <c r="D46" s="324"/>
      <c r="E46" s="324"/>
      <c r="F46" s="324"/>
      <c r="G46" s="324"/>
      <c r="H46" s="324"/>
      <c r="I46" s="324"/>
      <c r="J46" s="324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</row>
    <row r="47" spans="1:45" s="48" customFormat="1" ht="24.95" customHeight="1" x14ac:dyDescent="0.25">
      <c r="A47" s="241"/>
      <c r="B47" s="242" t="s">
        <v>8</v>
      </c>
      <c r="C47" s="242"/>
      <c r="D47" s="242" t="s">
        <v>186</v>
      </c>
      <c r="E47" s="243" t="s">
        <v>100</v>
      </c>
      <c r="F47" s="243"/>
      <c r="G47" s="243"/>
      <c r="H47" s="243"/>
      <c r="I47" s="244" t="s">
        <v>4</v>
      </c>
      <c r="J47" s="245" t="s">
        <v>101</v>
      </c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</row>
    <row r="48" spans="1:45" s="7" customFormat="1" ht="24.95" customHeight="1" x14ac:dyDescent="0.25">
      <c r="A48" s="241"/>
      <c r="B48" s="242"/>
      <c r="C48" s="242"/>
      <c r="D48" s="242"/>
      <c r="E48" s="138" t="s">
        <v>244</v>
      </c>
      <c r="F48" s="138" t="s">
        <v>245</v>
      </c>
      <c r="G48" s="138" t="s">
        <v>246</v>
      </c>
      <c r="H48" s="177" t="s">
        <v>9</v>
      </c>
      <c r="I48" s="244"/>
      <c r="J48" s="245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</row>
    <row r="49" spans="1:45" s="71" customFormat="1" ht="24.95" customHeight="1" x14ac:dyDescent="0.25">
      <c r="A49" s="72"/>
      <c r="B49" s="342" t="s">
        <v>106</v>
      </c>
      <c r="C49" s="342"/>
      <c r="D49" s="342"/>
      <c r="E49" s="342"/>
      <c r="F49" s="342"/>
      <c r="G49" s="342"/>
      <c r="H49" s="342"/>
      <c r="I49" s="342"/>
      <c r="J49" s="342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6"/>
    </row>
    <row r="50" spans="1:45" s="7" customFormat="1" ht="24.95" customHeight="1" x14ac:dyDescent="0.25">
      <c r="A50" s="15"/>
      <c r="B50" s="292" t="s">
        <v>195</v>
      </c>
      <c r="C50" s="258"/>
      <c r="D50" s="258"/>
      <c r="E50" s="258"/>
      <c r="F50" s="258"/>
      <c r="G50" s="258"/>
      <c r="H50" s="258"/>
      <c r="I50" s="258"/>
      <c r="J50" s="258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</row>
    <row r="51" spans="1:45" s="7" customFormat="1" ht="24.95" customHeight="1" x14ac:dyDescent="0.25">
      <c r="A51" s="50" t="s">
        <v>104</v>
      </c>
      <c r="B51" s="289" t="s">
        <v>105</v>
      </c>
      <c r="C51" s="290"/>
      <c r="D51" s="15" t="s">
        <v>10</v>
      </c>
      <c r="E51" s="21">
        <v>0</v>
      </c>
      <c r="F51" s="15">
        <v>63</v>
      </c>
      <c r="G51" s="15">
        <v>0</v>
      </c>
      <c r="H51" s="25">
        <f>SUM(E51:G51)</f>
        <v>63</v>
      </c>
      <c r="I51" s="219"/>
      <c r="J51" s="85">
        <f>H51*I51</f>
        <v>0</v>
      </c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</row>
    <row r="52" spans="1:45" s="7" customFormat="1" ht="24.95" customHeight="1" x14ac:dyDescent="0.25">
      <c r="A52" s="15" t="s">
        <v>35</v>
      </c>
      <c r="B52" s="292" t="s">
        <v>168</v>
      </c>
      <c r="C52" s="258"/>
      <c r="D52" s="15" t="s">
        <v>10</v>
      </c>
      <c r="E52" s="21">
        <v>0</v>
      </c>
      <c r="F52" s="15">
        <v>102</v>
      </c>
      <c r="G52" s="15">
        <v>4</v>
      </c>
      <c r="H52" s="25">
        <f t="shared" ref="H52:H53" si="9">SUM(E52:G52)</f>
        <v>106</v>
      </c>
      <c r="I52" s="219"/>
      <c r="J52" s="85">
        <f>H52*I52</f>
        <v>0</v>
      </c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</row>
    <row r="53" spans="1:45" s="7" customFormat="1" ht="24.95" customHeight="1" x14ac:dyDescent="0.25">
      <c r="A53" s="23" t="s">
        <v>26</v>
      </c>
      <c r="B53" s="288" t="s">
        <v>177</v>
      </c>
      <c r="C53" s="288"/>
      <c r="D53" s="23" t="s">
        <v>12</v>
      </c>
      <c r="E53" s="23">
        <f>E52*0.04</f>
        <v>0</v>
      </c>
      <c r="F53" s="23">
        <f>F52*0.009</f>
        <v>0.91799999999999993</v>
      </c>
      <c r="G53" s="23">
        <f>G52*0.009</f>
        <v>3.5999999999999997E-2</v>
      </c>
      <c r="H53" s="25">
        <f t="shared" si="9"/>
        <v>0.95399999999999996</v>
      </c>
      <c r="I53" s="221"/>
      <c r="J53" s="85">
        <f>H53*I53</f>
        <v>0</v>
      </c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</row>
    <row r="54" spans="1:45" s="7" customFormat="1" ht="24.95" customHeight="1" x14ac:dyDescent="0.25">
      <c r="A54" s="21"/>
      <c r="B54" s="291" t="s">
        <v>204</v>
      </c>
      <c r="C54" s="291"/>
      <c r="D54" s="13"/>
      <c r="E54" s="13"/>
      <c r="F54" s="13"/>
      <c r="G54" s="13"/>
      <c r="H54" s="181"/>
      <c r="I54" s="182"/>
      <c r="J54" s="84">
        <f>SUM(J51:J53)</f>
        <v>0</v>
      </c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</row>
    <row r="55" spans="1:45" s="7" customFormat="1" ht="24.95" customHeight="1" x14ac:dyDescent="0.25">
      <c r="A55" s="15"/>
      <c r="B55" s="292" t="s">
        <v>196</v>
      </c>
      <c r="C55" s="258"/>
      <c r="D55" s="258"/>
      <c r="E55" s="258"/>
      <c r="F55" s="258"/>
      <c r="G55" s="258"/>
      <c r="H55" s="258"/>
      <c r="I55" s="258"/>
      <c r="J55" s="258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</row>
    <row r="56" spans="1:45" s="7" customFormat="1" ht="24.95" customHeight="1" x14ac:dyDescent="0.25">
      <c r="A56" s="50" t="s">
        <v>113</v>
      </c>
      <c r="B56" s="289" t="s">
        <v>107</v>
      </c>
      <c r="C56" s="290"/>
      <c r="D56" s="21" t="s">
        <v>10</v>
      </c>
      <c r="E56" s="21">
        <v>0</v>
      </c>
      <c r="F56" s="21">
        <v>2</v>
      </c>
      <c r="G56" s="21">
        <v>0</v>
      </c>
      <c r="H56" s="25">
        <f>SUM(E56:G56)</f>
        <v>2</v>
      </c>
      <c r="I56" s="219"/>
      <c r="J56" s="85">
        <f>H56*I56</f>
        <v>0</v>
      </c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6"/>
      <c r="AS56" s="176"/>
    </row>
    <row r="57" spans="1:45" s="7" customFormat="1" ht="24.95" customHeight="1" x14ac:dyDescent="0.25">
      <c r="A57" s="15" t="s">
        <v>36</v>
      </c>
      <c r="B57" s="289" t="s">
        <v>169</v>
      </c>
      <c r="C57" s="290"/>
      <c r="D57" s="21" t="s">
        <v>10</v>
      </c>
      <c r="E57" s="21">
        <v>0</v>
      </c>
      <c r="F57" s="21">
        <v>6</v>
      </c>
      <c r="G57" s="21">
        <v>1</v>
      </c>
      <c r="H57" s="25">
        <f t="shared" ref="H57:H58" si="10">SUM(E57:G57)</f>
        <v>7</v>
      </c>
      <c r="I57" s="219"/>
      <c r="J57" s="85">
        <f>H57*I57</f>
        <v>0</v>
      </c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176"/>
    </row>
    <row r="58" spans="1:45" s="7" customFormat="1" ht="24.95" customHeight="1" x14ac:dyDescent="0.25">
      <c r="A58" s="23" t="s">
        <v>26</v>
      </c>
      <c r="B58" s="288" t="s">
        <v>177</v>
      </c>
      <c r="C58" s="288"/>
      <c r="D58" s="23" t="s">
        <v>12</v>
      </c>
      <c r="E58" s="23">
        <f>E57*0.04</f>
        <v>0</v>
      </c>
      <c r="F58" s="23">
        <f>F57*0.014</f>
        <v>8.4000000000000005E-2</v>
      </c>
      <c r="G58" s="23">
        <f>G57*0.014</f>
        <v>1.4E-2</v>
      </c>
      <c r="H58" s="25">
        <f t="shared" si="10"/>
        <v>9.8000000000000004E-2</v>
      </c>
      <c r="I58" s="221"/>
      <c r="J58" s="85">
        <f>H58*I58</f>
        <v>0</v>
      </c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6"/>
      <c r="AS58" s="176"/>
    </row>
    <row r="59" spans="1:45" s="7" customFormat="1" ht="24.95" customHeight="1" x14ac:dyDescent="0.25">
      <c r="A59" s="21"/>
      <c r="B59" s="291" t="s">
        <v>205</v>
      </c>
      <c r="C59" s="291"/>
      <c r="D59" s="13"/>
      <c r="E59" s="13"/>
      <c r="F59" s="13"/>
      <c r="G59" s="13"/>
      <c r="H59" s="181"/>
      <c r="I59" s="182"/>
      <c r="J59" s="84">
        <f>SUM(J56:J58)</f>
        <v>0</v>
      </c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</row>
    <row r="60" spans="1:45" s="7" customFormat="1" ht="24.95" customHeight="1" x14ac:dyDescent="0.25">
      <c r="A60" s="15"/>
      <c r="B60" s="292" t="s">
        <v>197</v>
      </c>
      <c r="C60" s="258"/>
      <c r="D60" s="258"/>
      <c r="E60" s="258"/>
      <c r="F60" s="258"/>
      <c r="G60" s="258"/>
      <c r="H60" s="258"/>
      <c r="I60" s="258"/>
      <c r="J60" s="258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</row>
    <row r="61" spans="1:45" s="7" customFormat="1" ht="24.95" customHeight="1" x14ac:dyDescent="0.25">
      <c r="A61" s="50" t="s">
        <v>114</v>
      </c>
      <c r="B61" s="289" t="s">
        <v>108</v>
      </c>
      <c r="C61" s="290"/>
      <c r="D61" s="21" t="s">
        <v>10</v>
      </c>
      <c r="E61" s="21">
        <v>0</v>
      </c>
      <c r="F61" s="21">
        <v>2</v>
      </c>
      <c r="G61" s="21">
        <v>0</v>
      </c>
      <c r="H61" s="25">
        <f>SUM(E61:G61)</f>
        <v>2</v>
      </c>
      <c r="I61" s="222"/>
      <c r="J61" s="85">
        <f>H61*I61</f>
        <v>0</v>
      </c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</row>
    <row r="62" spans="1:45" s="7" customFormat="1" ht="24.95" customHeight="1" x14ac:dyDescent="0.25">
      <c r="A62" s="15" t="s">
        <v>37</v>
      </c>
      <c r="B62" s="289" t="s">
        <v>170</v>
      </c>
      <c r="C62" s="290"/>
      <c r="D62" s="21" t="s">
        <v>10</v>
      </c>
      <c r="E62" s="21">
        <v>0</v>
      </c>
      <c r="F62" s="21">
        <v>6</v>
      </c>
      <c r="G62" s="21">
        <v>1</v>
      </c>
      <c r="H62" s="25">
        <f t="shared" ref="H62:H63" si="11">SUM(E62:G62)</f>
        <v>7</v>
      </c>
      <c r="I62" s="222"/>
      <c r="J62" s="85">
        <f>H62*I62</f>
        <v>0</v>
      </c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76"/>
    </row>
    <row r="63" spans="1:45" s="7" customFormat="1" ht="24.95" customHeight="1" x14ac:dyDescent="0.25">
      <c r="A63" s="23" t="s">
        <v>26</v>
      </c>
      <c r="B63" s="288" t="s">
        <v>177</v>
      </c>
      <c r="C63" s="288"/>
      <c r="D63" s="23" t="s">
        <v>12</v>
      </c>
      <c r="E63" s="23">
        <f>E62*0.04</f>
        <v>0</v>
      </c>
      <c r="F63" s="23">
        <f>F62*0.025</f>
        <v>0.15000000000000002</v>
      </c>
      <c r="G63" s="23">
        <f>G62*0.025</f>
        <v>2.5000000000000001E-2</v>
      </c>
      <c r="H63" s="25">
        <f t="shared" si="11"/>
        <v>0.17500000000000002</v>
      </c>
      <c r="I63" s="221"/>
      <c r="J63" s="85">
        <f>H63*I63</f>
        <v>0</v>
      </c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6"/>
    </row>
    <row r="64" spans="1:45" s="7" customFormat="1" ht="24.95" customHeight="1" x14ac:dyDescent="0.25">
      <c r="A64" s="21"/>
      <c r="B64" s="291" t="s">
        <v>206</v>
      </c>
      <c r="C64" s="291"/>
      <c r="D64" s="13"/>
      <c r="E64" s="13"/>
      <c r="F64" s="13"/>
      <c r="G64" s="13"/>
      <c r="H64" s="181"/>
      <c r="I64" s="183"/>
      <c r="J64" s="84">
        <f>SUM(J61:J63)</f>
        <v>0</v>
      </c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/>
      <c r="AS64" s="176"/>
    </row>
    <row r="65" spans="1:45" s="7" customFormat="1" ht="24.95" customHeight="1" x14ac:dyDescent="0.25">
      <c r="A65" s="15"/>
      <c r="B65" s="292" t="s">
        <v>198</v>
      </c>
      <c r="C65" s="258"/>
      <c r="D65" s="258"/>
      <c r="E65" s="258"/>
      <c r="F65" s="258"/>
      <c r="G65" s="258"/>
      <c r="H65" s="258"/>
      <c r="I65" s="258"/>
      <c r="J65" s="258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176"/>
    </row>
    <row r="66" spans="1:45" s="7" customFormat="1" ht="24.95" customHeight="1" x14ac:dyDescent="0.25">
      <c r="A66" s="50" t="s">
        <v>115</v>
      </c>
      <c r="B66" s="289" t="s">
        <v>109</v>
      </c>
      <c r="C66" s="290"/>
      <c r="D66" s="21" t="s">
        <v>10</v>
      </c>
      <c r="E66" s="21">
        <v>0</v>
      </c>
      <c r="F66" s="21">
        <v>3</v>
      </c>
      <c r="G66" s="21">
        <v>0</v>
      </c>
      <c r="H66" s="25">
        <f>SUM(E66:G66)</f>
        <v>3</v>
      </c>
      <c r="I66" s="222"/>
      <c r="J66" s="85">
        <f>H66*I66</f>
        <v>0</v>
      </c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J66" s="176"/>
      <c r="AK66" s="176"/>
      <c r="AL66" s="176"/>
      <c r="AM66" s="176"/>
      <c r="AN66" s="176"/>
      <c r="AO66" s="176"/>
      <c r="AP66" s="176"/>
      <c r="AQ66" s="176"/>
      <c r="AR66" s="176"/>
      <c r="AS66" s="176"/>
    </row>
    <row r="67" spans="1:45" s="7" customFormat="1" ht="24.95" customHeight="1" x14ac:dyDescent="0.25">
      <c r="A67" s="15" t="s">
        <v>53</v>
      </c>
      <c r="B67" s="289" t="s">
        <v>171</v>
      </c>
      <c r="C67" s="290"/>
      <c r="D67" s="21" t="s">
        <v>10</v>
      </c>
      <c r="E67" s="21">
        <v>0</v>
      </c>
      <c r="F67" s="21">
        <v>5</v>
      </c>
      <c r="G67" s="21">
        <v>1</v>
      </c>
      <c r="H67" s="25">
        <f t="shared" ref="H67:H68" si="12">SUM(E67:G67)</f>
        <v>6</v>
      </c>
      <c r="I67" s="222"/>
      <c r="J67" s="85">
        <f>H67*I67</f>
        <v>0</v>
      </c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6"/>
      <c r="AI67" s="176"/>
      <c r="AJ67" s="176"/>
      <c r="AK67" s="176"/>
      <c r="AL67" s="176"/>
      <c r="AM67" s="176"/>
      <c r="AN67" s="176"/>
      <c r="AO67" s="176"/>
      <c r="AP67" s="176"/>
      <c r="AQ67" s="176"/>
      <c r="AR67" s="176"/>
      <c r="AS67" s="176"/>
    </row>
    <row r="68" spans="1:45" s="7" customFormat="1" ht="24.95" customHeight="1" x14ac:dyDescent="0.25">
      <c r="A68" s="23" t="s">
        <v>26</v>
      </c>
      <c r="B68" s="288" t="s">
        <v>177</v>
      </c>
      <c r="C68" s="288"/>
      <c r="D68" s="23" t="s">
        <v>12</v>
      </c>
      <c r="E68" s="23">
        <f>E67*0.04</f>
        <v>0</v>
      </c>
      <c r="F68" s="23">
        <f>F67*0.04</f>
        <v>0.2</v>
      </c>
      <c r="G68" s="23">
        <f>G67*0.04</f>
        <v>0.04</v>
      </c>
      <c r="H68" s="25">
        <f t="shared" si="12"/>
        <v>0.24000000000000002</v>
      </c>
      <c r="I68" s="221"/>
      <c r="J68" s="85">
        <f>H68*I68</f>
        <v>0</v>
      </c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6"/>
      <c r="AK68" s="176"/>
      <c r="AL68" s="176"/>
      <c r="AM68" s="176"/>
      <c r="AN68" s="176"/>
      <c r="AO68" s="176"/>
      <c r="AP68" s="176"/>
      <c r="AQ68" s="176"/>
      <c r="AR68" s="176"/>
      <c r="AS68" s="176"/>
    </row>
    <row r="69" spans="1:45" s="7" customFormat="1" ht="24.95" customHeight="1" x14ac:dyDescent="0.25">
      <c r="A69" s="21"/>
      <c r="B69" s="291" t="s">
        <v>207</v>
      </c>
      <c r="C69" s="291"/>
      <c r="D69" s="13"/>
      <c r="E69" s="13"/>
      <c r="F69" s="13"/>
      <c r="G69" s="13"/>
      <c r="H69" s="181"/>
      <c r="I69" s="183"/>
      <c r="J69" s="84">
        <f>SUM(J66:J68)</f>
        <v>0</v>
      </c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6"/>
      <c r="AK69" s="176"/>
      <c r="AL69" s="176"/>
      <c r="AM69" s="176"/>
      <c r="AN69" s="176"/>
      <c r="AO69" s="176"/>
      <c r="AP69" s="176"/>
      <c r="AQ69" s="176"/>
      <c r="AR69" s="176"/>
      <c r="AS69" s="176"/>
    </row>
    <row r="70" spans="1:45" s="7" customFormat="1" ht="24.95" customHeight="1" x14ac:dyDescent="0.25">
      <c r="A70" s="44"/>
      <c r="B70" s="255" t="s">
        <v>199</v>
      </c>
      <c r="C70" s="256"/>
      <c r="D70" s="256"/>
      <c r="E70" s="256"/>
      <c r="F70" s="256"/>
      <c r="G70" s="256"/>
      <c r="H70" s="256"/>
      <c r="I70" s="256"/>
      <c r="J70" s="25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176"/>
      <c r="AL70" s="176"/>
      <c r="AM70" s="176"/>
      <c r="AN70" s="176"/>
      <c r="AO70" s="176"/>
      <c r="AP70" s="176"/>
      <c r="AQ70" s="176"/>
      <c r="AR70" s="176"/>
      <c r="AS70" s="176"/>
    </row>
    <row r="71" spans="1:45" s="7" customFormat="1" ht="24.95" customHeight="1" x14ac:dyDescent="0.25">
      <c r="A71" s="50" t="s">
        <v>116</v>
      </c>
      <c r="B71" s="289" t="s">
        <v>110</v>
      </c>
      <c r="C71" s="290"/>
      <c r="D71" s="21" t="s">
        <v>10</v>
      </c>
      <c r="E71" s="21">
        <v>1</v>
      </c>
      <c r="F71" s="21">
        <v>0</v>
      </c>
      <c r="G71" s="21">
        <v>0</v>
      </c>
      <c r="H71" s="25">
        <f>SUM(E71:G71)</f>
        <v>1</v>
      </c>
      <c r="I71" s="222"/>
      <c r="J71" s="85">
        <f>H71*I71</f>
        <v>0</v>
      </c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6"/>
      <c r="AK71" s="176"/>
      <c r="AL71" s="176"/>
      <c r="AM71" s="176"/>
      <c r="AN71" s="176"/>
      <c r="AO71" s="176"/>
      <c r="AP71" s="176"/>
      <c r="AQ71" s="176"/>
      <c r="AR71" s="176"/>
      <c r="AS71" s="176"/>
    </row>
    <row r="72" spans="1:45" s="7" customFormat="1" ht="24.95" customHeight="1" x14ac:dyDescent="0.25">
      <c r="A72" s="15" t="s">
        <v>38</v>
      </c>
      <c r="B72" s="289" t="s">
        <v>172</v>
      </c>
      <c r="C72" s="290"/>
      <c r="D72" s="21" t="s">
        <v>10</v>
      </c>
      <c r="E72" s="21">
        <v>1</v>
      </c>
      <c r="F72" s="21">
        <v>2</v>
      </c>
      <c r="G72" s="21">
        <v>1</v>
      </c>
      <c r="H72" s="25">
        <f t="shared" ref="H72:H73" si="13">SUM(E72:G72)</f>
        <v>4</v>
      </c>
      <c r="I72" s="222"/>
      <c r="J72" s="85">
        <f>H72*I72</f>
        <v>0</v>
      </c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6"/>
      <c r="AO72" s="176"/>
      <c r="AP72" s="176"/>
      <c r="AQ72" s="176"/>
      <c r="AR72" s="176"/>
      <c r="AS72" s="176"/>
    </row>
    <row r="73" spans="1:45" s="7" customFormat="1" ht="24.95" customHeight="1" x14ac:dyDescent="0.25">
      <c r="A73" s="23" t="s">
        <v>26</v>
      </c>
      <c r="B73" s="288" t="s">
        <v>177</v>
      </c>
      <c r="C73" s="288"/>
      <c r="D73" s="23" t="s">
        <v>12</v>
      </c>
      <c r="E73" s="23">
        <f t="shared" ref="E73:F73" si="14">E72*0.057</f>
        <v>5.7000000000000002E-2</v>
      </c>
      <c r="F73" s="23">
        <f t="shared" si="14"/>
        <v>0.114</v>
      </c>
      <c r="G73" s="23">
        <f>G72*0.057</f>
        <v>5.7000000000000002E-2</v>
      </c>
      <c r="H73" s="25">
        <f t="shared" si="13"/>
        <v>0.22800000000000001</v>
      </c>
      <c r="I73" s="221"/>
      <c r="J73" s="85">
        <f>H73*I73</f>
        <v>0</v>
      </c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6"/>
      <c r="AG73" s="176"/>
      <c r="AH73" s="176"/>
      <c r="AI73" s="176"/>
      <c r="AJ73" s="176"/>
      <c r="AK73" s="176"/>
      <c r="AL73" s="176"/>
      <c r="AM73" s="176"/>
      <c r="AN73" s="176"/>
      <c r="AO73" s="176"/>
      <c r="AP73" s="176"/>
      <c r="AQ73" s="176"/>
      <c r="AR73" s="176"/>
      <c r="AS73" s="176"/>
    </row>
    <row r="74" spans="1:45" s="7" customFormat="1" ht="24.95" customHeight="1" x14ac:dyDescent="0.25">
      <c r="A74" s="44"/>
      <c r="B74" s="325" t="s">
        <v>103</v>
      </c>
      <c r="C74" s="325"/>
      <c r="D74" s="13"/>
      <c r="E74" s="13"/>
      <c r="F74" s="13"/>
      <c r="G74" s="13"/>
      <c r="H74" s="181"/>
      <c r="I74" s="69"/>
      <c r="J74" s="84">
        <f>SUM(J71:J73)</f>
        <v>0</v>
      </c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6"/>
      <c r="AK74" s="176"/>
      <c r="AL74" s="176"/>
      <c r="AM74" s="176"/>
      <c r="AN74" s="176"/>
      <c r="AO74" s="176"/>
      <c r="AP74" s="176"/>
      <c r="AQ74" s="176"/>
      <c r="AR74" s="176"/>
      <c r="AS74" s="176"/>
    </row>
    <row r="75" spans="1:45" s="7" customFormat="1" ht="24.95" customHeight="1" x14ac:dyDescent="0.25">
      <c r="A75" s="44"/>
      <c r="B75" s="255" t="s">
        <v>200</v>
      </c>
      <c r="C75" s="256"/>
      <c r="D75" s="256"/>
      <c r="E75" s="256"/>
      <c r="F75" s="256"/>
      <c r="G75" s="256"/>
      <c r="H75" s="256"/>
      <c r="I75" s="256"/>
      <c r="J75" s="25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6"/>
      <c r="AK75" s="176"/>
      <c r="AL75" s="176"/>
      <c r="AM75" s="176"/>
      <c r="AN75" s="176"/>
      <c r="AO75" s="176"/>
      <c r="AP75" s="176"/>
      <c r="AQ75" s="176"/>
      <c r="AR75" s="176"/>
      <c r="AS75" s="176"/>
    </row>
    <row r="76" spans="1:45" s="7" customFormat="1" ht="24.95" customHeight="1" x14ac:dyDescent="0.25">
      <c r="A76" s="50" t="s">
        <v>117</v>
      </c>
      <c r="B76" s="289" t="s">
        <v>111</v>
      </c>
      <c r="C76" s="290"/>
      <c r="D76" s="21" t="s">
        <v>10</v>
      </c>
      <c r="E76" s="21">
        <v>2</v>
      </c>
      <c r="F76" s="21">
        <v>0</v>
      </c>
      <c r="G76" s="21">
        <v>0</v>
      </c>
      <c r="H76" s="15">
        <f>SUM(E76:G76)</f>
        <v>2</v>
      </c>
      <c r="I76" s="222"/>
      <c r="J76" s="85">
        <f>H76*I76</f>
        <v>0</v>
      </c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6"/>
      <c r="AK76" s="176"/>
      <c r="AL76" s="176"/>
      <c r="AM76" s="176"/>
      <c r="AN76" s="176"/>
      <c r="AO76" s="176"/>
      <c r="AP76" s="176"/>
      <c r="AQ76" s="176"/>
      <c r="AR76" s="176"/>
      <c r="AS76" s="176"/>
    </row>
    <row r="77" spans="1:45" s="7" customFormat="1" ht="24.95" customHeight="1" x14ac:dyDescent="0.25">
      <c r="A77" s="44" t="s">
        <v>66</v>
      </c>
      <c r="B77" s="289" t="s">
        <v>173</v>
      </c>
      <c r="C77" s="290"/>
      <c r="D77" s="21" t="s">
        <v>10</v>
      </c>
      <c r="E77" s="22">
        <v>3</v>
      </c>
      <c r="F77" s="22">
        <v>0</v>
      </c>
      <c r="G77" s="22">
        <v>2</v>
      </c>
      <c r="H77" s="15">
        <f t="shared" ref="H77:H78" si="15">SUM(E77:G77)</f>
        <v>5</v>
      </c>
      <c r="I77" s="222"/>
      <c r="J77" s="85">
        <f>H77*I77</f>
        <v>0</v>
      </c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  <c r="AI77" s="176"/>
      <c r="AJ77" s="176"/>
      <c r="AK77" s="176"/>
      <c r="AL77" s="176"/>
      <c r="AM77" s="176"/>
      <c r="AN77" s="176"/>
      <c r="AO77" s="176"/>
      <c r="AP77" s="176"/>
      <c r="AQ77" s="176"/>
      <c r="AR77" s="176"/>
      <c r="AS77" s="176"/>
    </row>
    <row r="78" spans="1:45" s="7" customFormat="1" ht="24.95" customHeight="1" x14ac:dyDescent="0.25">
      <c r="A78" s="23" t="s">
        <v>26</v>
      </c>
      <c r="B78" s="288" t="s">
        <v>177</v>
      </c>
      <c r="C78" s="288"/>
      <c r="D78" s="23" t="s">
        <v>12</v>
      </c>
      <c r="E78" s="24">
        <f t="shared" ref="E78:F78" si="16">E77*0.077</f>
        <v>0.23099999999999998</v>
      </c>
      <c r="F78" s="24">
        <f t="shared" si="16"/>
        <v>0</v>
      </c>
      <c r="G78" s="24">
        <f>G77*0.077</f>
        <v>0.154</v>
      </c>
      <c r="H78" s="15">
        <f t="shared" si="15"/>
        <v>0.38500000000000001</v>
      </c>
      <c r="I78" s="221"/>
      <c r="J78" s="85">
        <f>H78*I78</f>
        <v>0</v>
      </c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6"/>
      <c r="AG78" s="176"/>
      <c r="AH78" s="176"/>
      <c r="AI78" s="176"/>
      <c r="AJ78" s="176"/>
      <c r="AK78" s="176"/>
      <c r="AL78" s="176"/>
      <c r="AM78" s="176"/>
      <c r="AN78" s="176"/>
      <c r="AO78" s="176"/>
      <c r="AP78" s="176"/>
      <c r="AQ78" s="176"/>
      <c r="AR78" s="176"/>
      <c r="AS78" s="176"/>
    </row>
    <row r="79" spans="1:45" s="7" customFormat="1" ht="24.95" customHeight="1" x14ac:dyDescent="0.25">
      <c r="A79" s="44"/>
      <c r="B79" s="129" t="s">
        <v>208</v>
      </c>
      <c r="C79" s="129"/>
      <c r="D79" s="13"/>
      <c r="E79" s="13"/>
      <c r="F79" s="13"/>
      <c r="G79" s="13"/>
      <c r="H79" s="13"/>
      <c r="I79" s="69"/>
      <c r="J79" s="84">
        <f>SUM(J76:J78)</f>
        <v>0</v>
      </c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6"/>
      <c r="AG79" s="176"/>
      <c r="AH79" s="176"/>
      <c r="AI79" s="176"/>
      <c r="AJ79" s="176"/>
      <c r="AK79" s="176"/>
      <c r="AL79" s="176"/>
      <c r="AM79" s="176"/>
      <c r="AN79" s="176"/>
      <c r="AO79" s="176"/>
      <c r="AP79" s="176"/>
      <c r="AQ79" s="176"/>
      <c r="AR79" s="176"/>
      <c r="AS79" s="176"/>
    </row>
    <row r="80" spans="1:45" s="7" customFormat="1" ht="24.95" customHeight="1" x14ac:dyDescent="0.25">
      <c r="A80" s="44"/>
      <c r="B80" s="255" t="s">
        <v>201</v>
      </c>
      <c r="C80" s="256"/>
      <c r="D80" s="256"/>
      <c r="E80" s="256"/>
      <c r="F80" s="256"/>
      <c r="G80" s="256"/>
      <c r="H80" s="256"/>
      <c r="I80" s="256"/>
      <c r="J80" s="25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6"/>
      <c r="AG80" s="176"/>
      <c r="AH80" s="176"/>
      <c r="AI80" s="176"/>
      <c r="AJ80" s="176"/>
      <c r="AK80" s="176"/>
      <c r="AL80" s="176"/>
      <c r="AM80" s="176"/>
      <c r="AN80" s="176"/>
      <c r="AO80" s="176"/>
      <c r="AP80" s="176"/>
      <c r="AQ80" s="176"/>
      <c r="AR80" s="176"/>
      <c r="AS80" s="176"/>
    </row>
    <row r="81" spans="1:45" s="7" customFormat="1" ht="24.95" customHeight="1" x14ac:dyDescent="0.25">
      <c r="A81" s="50" t="s">
        <v>118</v>
      </c>
      <c r="B81" s="292" t="s">
        <v>112</v>
      </c>
      <c r="C81" s="258"/>
      <c r="D81" s="15" t="s">
        <v>10</v>
      </c>
      <c r="E81" s="15">
        <v>0</v>
      </c>
      <c r="F81" s="15">
        <v>0</v>
      </c>
      <c r="G81" s="15">
        <v>0</v>
      </c>
      <c r="H81" s="15">
        <f>SUM(E81:G81)</f>
        <v>0</v>
      </c>
      <c r="I81" s="222"/>
      <c r="J81" s="76">
        <f>H81*I81</f>
        <v>0</v>
      </c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6"/>
      <c r="AL81" s="176"/>
      <c r="AM81" s="176"/>
      <c r="AN81" s="176"/>
      <c r="AO81" s="176"/>
      <c r="AP81" s="176"/>
      <c r="AQ81" s="176"/>
      <c r="AR81" s="176"/>
      <c r="AS81" s="176"/>
    </row>
    <row r="82" spans="1:45" s="7" customFormat="1" ht="24.95" customHeight="1" x14ac:dyDescent="0.25">
      <c r="A82" s="241"/>
      <c r="B82" s="242" t="s">
        <v>8</v>
      </c>
      <c r="C82" s="242"/>
      <c r="D82" s="242" t="s">
        <v>186</v>
      </c>
      <c r="E82" s="243" t="s">
        <v>100</v>
      </c>
      <c r="F82" s="243"/>
      <c r="G82" s="243"/>
      <c r="H82" s="243"/>
      <c r="I82" s="244" t="s">
        <v>4</v>
      </c>
      <c r="J82" s="245" t="s">
        <v>101</v>
      </c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6"/>
      <c r="AL82" s="176"/>
      <c r="AM82" s="176"/>
      <c r="AN82" s="176"/>
      <c r="AO82" s="176"/>
      <c r="AP82" s="176"/>
      <c r="AQ82" s="176"/>
      <c r="AR82" s="176"/>
      <c r="AS82" s="176"/>
    </row>
    <row r="83" spans="1:45" s="7" customFormat="1" ht="24.95" customHeight="1" x14ac:dyDescent="0.25">
      <c r="A83" s="241"/>
      <c r="B83" s="242"/>
      <c r="C83" s="242"/>
      <c r="D83" s="242"/>
      <c r="E83" s="138" t="s">
        <v>244</v>
      </c>
      <c r="F83" s="138" t="s">
        <v>245</v>
      </c>
      <c r="G83" s="138" t="s">
        <v>246</v>
      </c>
      <c r="H83" s="177" t="s">
        <v>9</v>
      </c>
      <c r="I83" s="244"/>
      <c r="J83" s="245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  <c r="AC83" s="176"/>
      <c r="AD83" s="176"/>
      <c r="AE83" s="176"/>
      <c r="AF83" s="176"/>
      <c r="AG83" s="176"/>
      <c r="AH83" s="176"/>
      <c r="AI83" s="176"/>
      <c r="AJ83" s="176"/>
      <c r="AK83" s="176"/>
      <c r="AL83" s="176"/>
      <c r="AM83" s="176"/>
      <c r="AN83" s="176"/>
      <c r="AO83" s="176"/>
      <c r="AP83" s="176"/>
      <c r="AQ83" s="176"/>
      <c r="AR83" s="176"/>
      <c r="AS83" s="176"/>
    </row>
    <row r="84" spans="1:45" s="7" customFormat="1" ht="24.95" customHeight="1" x14ac:dyDescent="0.25">
      <c r="A84" s="44" t="s">
        <v>64</v>
      </c>
      <c r="B84" s="292" t="s">
        <v>174</v>
      </c>
      <c r="C84" s="258"/>
      <c r="D84" s="15" t="s">
        <v>10</v>
      </c>
      <c r="E84" s="16">
        <v>1</v>
      </c>
      <c r="F84" s="16">
        <v>0</v>
      </c>
      <c r="G84" s="16">
        <v>0</v>
      </c>
      <c r="H84" s="15">
        <f t="shared" ref="H84:H85" si="17">SUM(E84:G84)</f>
        <v>1</v>
      </c>
      <c r="I84" s="222"/>
      <c r="J84" s="76">
        <f>H84*I84</f>
        <v>0</v>
      </c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6"/>
      <c r="AI84" s="176"/>
      <c r="AJ84" s="176"/>
      <c r="AK84" s="176"/>
      <c r="AL84" s="176"/>
      <c r="AM84" s="176"/>
      <c r="AN84" s="176"/>
      <c r="AO84" s="176"/>
      <c r="AP84" s="176"/>
      <c r="AQ84" s="176"/>
      <c r="AR84" s="176"/>
      <c r="AS84" s="176"/>
    </row>
    <row r="85" spans="1:45" s="7" customFormat="1" ht="24.95" customHeight="1" x14ac:dyDescent="0.25">
      <c r="A85" s="23" t="s">
        <v>26</v>
      </c>
      <c r="B85" s="288" t="s">
        <v>177</v>
      </c>
      <c r="C85" s="288"/>
      <c r="D85" s="23" t="s">
        <v>12</v>
      </c>
      <c r="E85" s="24">
        <f t="shared" ref="E85:F85" si="18">E84*0.1</f>
        <v>0.1</v>
      </c>
      <c r="F85" s="24">
        <f t="shared" si="18"/>
        <v>0</v>
      </c>
      <c r="G85" s="24">
        <f>G84*0.1</f>
        <v>0</v>
      </c>
      <c r="H85" s="15">
        <f t="shared" si="17"/>
        <v>0.1</v>
      </c>
      <c r="I85" s="221"/>
      <c r="J85" s="76">
        <f>H85*I85</f>
        <v>0</v>
      </c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K85" s="176"/>
      <c r="AL85" s="176"/>
      <c r="AM85" s="176"/>
      <c r="AN85" s="176"/>
      <c r="AO85" s="176"/>
      <c r="AP85" s="176"/>
      <c r="AQ85" s="176"/>
      <c r="AR85" s="176"/>
      <c r="AS85" s="176"/>
    </row>
    <row r="86" spans="1:45" s="7" customFormat="1" ht="24.95" customHeight="1" x14ac:dyDescent="0.25">
      <c r="A86" s="44"/>
      <c r="B86" s="291" t="s">
        <v>209</v>
      </c>
      <c r="C86" s="291"/>
      <c r="D86" s="13"/>
      <c r="E86" s="13"/>
      <c r="F86" s="13"/>
      <c r="G86" s="13"/>
      <c r="H86" s="13"/>
      <c r="I86" s="183"/>
      <c r="J86" s="84">
        <f>SUM(J81:J85)</f>
        <v>0</v>
      </c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  <c r="AB86" s="176"/>
      <c r="AC86" s="176"/>
      <c r="AD86" s="176"/>
      <c r="AE86" s="176"/>
      <c r="AF86" s="176"/>
      <c r="AG86" s="176"/>
      <c r="AH86" s="176"/>
      <c r="AI86" s="176"/>
      <c r="AJ86" s="176"/>
      <c r="AK86" s="176"/>
      <c r="AL86" s="176"/>
      <c r="AM86" s="176"/>
      <c r="AN86" s="176"/>
      <c r="AO86" s="176"/>
      <c r="AP86" s="176"/>
      <c r="AQ86" s="176"/>
      <c r="AR86" s="176"/>
      <c r="AS86" s="176"/>
    </row>
    <row r="87" spans="1:45" s="7" customFormat="1" ht="24.95" customHeight="1" x14ac:dyDescent="0.25">
      <c r="A87" s="44"/>
      <c r="B87" s="354" t="s">
        <v>202</v>
      </c>
      <c r="C87" s="355"/>
      <c r="D87" s="355"/>
      <c r="E87" s="355"/>
      <c r="F87" s="355"/>
      <c r="G87" s="355"/>
      <c r="H87" s="355"/>
      <c r="I87" s="355"/>
      <c r="J87" s="35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6"/>
      <c r="AG87" s="176"/>
      <c r="AH87" s="176"/>
      <c r="AI87" s="176"/>
      <c r="AJ87" s="176"/>
      <c r="AK87" s="176"/>
      <c r="AL87" s="176"/>
      <c r="AM87" s="176"/>
      <c r="AN87" s="176"/>
      <c r="AO87" s="176"/>
      <c r="AP87" s="176"/>
      <c r="AQ87" s="176"/>
      <c r="AR87" s="176"/>
      <c r="AS87" s="176"/>
    </row>
    <row r="88" spans="1:45" s="7" customFormat="1" ht="24.95" customHeight="1" x14ac:dyDescent="0.25">
      <c r="A88" s="50" t="s">
        <v>179</v>
      </c>
      <c r="B88" s="252" t="s">
        <v>180</v>
      </c>
      <c r="C88" s="252"/>
      <c r="D88" s="26" t="s">
        <v>10</v>
      </c>
      <c r="E88" s="26">
        <v>2</v>
      </c>
      <c r="F88" s="26">
        <v>1</v>
      </c>
      <c r="G88" s="26">
        <v>0</v>
      </c>
      <c r="H88" s="15">
        <f>SUM(E88:G88)</f>
        <v>3</v>
      </c>
      <c r="I88" s="223"/>
      <c r="J88" s="86">
        <f>H88*I88</f>
        <v>0</v>
      </c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6"/>
      <c r="AG88" s="176"/>
      <c r="AH88" s="176"/>
      <c r="AI88" s="176"/>
      <c r="AJ88" s="176"/>
      <c r="AK88" s="176"/>
      <c r="AL88" s="176"/>
      <c r="AM88" s="176"/>
      <c r="AN88" s="176"/>
      <c r="AO88" s="176"/>
      <c r="AP88" s="176"/>
      <c r="AQ88" s="176"/>
      <c r="AR88" s="176"/>
      <c r="AS88" s="176"/>
    </row>
    <row r="89" spans="1:45" s="7" customFormat="1" ht="24.95" customHeight="1" x14ac:dyDescent="0.25">
      <c r="A89" s="44" t="s">
        <v>67</v>
      </c>
      <c r="B89" s="252" t="s">
        <v>65</v>
      </c>
      <c r="C89" s="252"/>
      <c r="D89" s="26" t="s">
        <v>10</v>
      </c>
      <c r="E89" s="27">
        <v>3</v>
      </c>
      <c r="F89" s="27">
        <v>1</v>
      </c>
      <c r="G89" s="27">
        <v>0</v>
      </c>
      <c r="H89" s="15">
        <f t="shared" ref="H89:H90" si="19">SUM(E89:G89)</f>
        <v>4</v>
      </c>
      <c r="I89" s="223"/>
      <c r="J89" s="86">
        <f>H89*I89</f>
        <v>0</v>
      </c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6"/>
      <c r="AG89" s="176"/>
      <c r="AH89" s="176"/>
      <c r="AI89" s="176"/>
      <c r="AJ89" s="176"/>
      <c r="AK89" s="176"/>
      <c r="AL89" s="176"/>
      <c r="AM89" s="176"/>
      <c r="AN89" s="176"/>
      <c r="AO89" s="176"/>
      <c r="AP89" s="176"/>
      <c r="AQ89" s="176"/>
      <c r="AR89" s="176"/>
      <c r="AS89" s="176"/>
    </row>
    <row r="90" spans="1:45" s="7" customFormat="1" ht="24.95" customHeight="1" x14ac:dyDescent="0.25">
      <c r="A90" s="23" t="s">
        <v>26</v>
      </c>
      <c r="B90" s="288" t="s">
        <v>177</v>
      </c>
      <c r="C90" s="288"/>
      <c r="D90" s="23" t="s">
        <v>12</v>
      </c>
      <c r="E90" s="24">
        <f t="shared" ref="E90:F90" si="20">E89*0.2</f>
        <v>0.60000000000000009</v>
      </c>
      <c r="F90" s="24">
        <f t="shared" si="20"/>
        <v>0.2</v>
      </c>
      <c r="G90" s="24">
        <f>G89*0.2</f>
        <v>0</v>
      </c>
      <c r="H90" s="15">
        <f t="shared" si="19"/>
        <v>0.8</v>
      </c>
      <c r="I90" s="221"/>
      <c r="J90" s="86">
        <f>H90*I90</f>
        <v>0</v>
      </c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176"/>
      <c r="AK90" s="176"/>
      <c r="AL90" s="176"/>
      <c r="AM90" s="176"/>
      <c r="AN90" s="176"/>
      <c r="AO90" s="176"/>
      <c r="AP90" s="176"/>
      <c r="AQ90" s="176"/>
      <c r="AR90" s="176"/>
      <c r="AS90" s="176"/>
    </row>
    <row r="91" spans="1:45" s="7" customFormat="1" ht="24.95" customHeight="1" x14ac:dyDescent="0.25">
      <c r="A91" s="44"/>
      <c r="B91" s="322" t="s">
        <v>210</v>
      </c>
      <c r="C91" s="322"/>
      <c r="D91" s="34"/>
      <c r="E91" s="34"/>
      <c r="F91" s="34"/>
      <c r="G91" s="34"/>
      <c r="H91" s="34"/>
      <c r="I91" s="69"/>
      <c r="J91" s="84">
        <f>SUM(J88:J90)</f>
        <v>0</v>
      </c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176"/>
      <c r="AK91" s="176"/>
      <c r="AL91" s="176"/>
      <c r="AM91" s="176"/>
      <c r="AN91" s="176"/>
      <c r="AO91" s="176"/>
      <c r="AP91" s="176"/>
      <c r="AQ91" s="176"/>
      <c r="AR91" s="176"/>
      <c r="AS91" s="176"/>
    </row>
    <row r="92" spans="1:45" s="7" customFormat="1" ht="24.95" customHeight="1" x14ac:dyDescent="0.25">
      <c r="A92" s="44"/>
      <c r="B92" s="341" t="s">
        <v>203</v>
      </c>
      <c r="C92" s="341"/>
      <c r="D92" s="341"/>
      <c r="E92" s="341"/>
      <c r="F92" s="341"/>
      <c r="G92" s="341"/>
      <c r="H92" s="341"/>
      <c r="I92" s="341"/>
      <c r="J92" s="341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  <c r="AF92" s="176"/>
      <c r="AG92" s="176"/>
      <c r="AH92" s="176"/>
      <c r="AI92" s="176"/>
      <c r="AJ92" s="176"/>
      <c r="AK92" s="176"/>
      <c r="AL92" s="176"/>
      <c r="AM92" s="176"/>
      <c r="AN92" s="176"/>
      <c r="AO92" s="176"/>
      <c r="AP92" s="176"/>
      <c r="AQ92" s="176"/>
      <c r="AR92" s="176"/>
      <c r="AS92" s="176"/>
    </row>
    <row r="93" spans="1:45" s="7" customFormat="1" ht="24.95" customHeight="1" x14ac:dyDescent="0.25">
      <c r="A93" s="50" t="s">
        <v>181</v>
      </c>
      <c r="B93" s="252" t="s">
        <v>182</v>
      </c>
      <c r="C93" s="252"/>
      <c r="D93" s="26" t="s">
        <v>10</v>
      </c>
      <c r="E93" s="26">
        <v>1</v>
      </c>
      <c r="F93" s="26">
        <v>3</v>
      </c>
      <c r="G93" s="26">
        <v>0</v>
      </c>
      <c r="H93" s="15">
        <f>SUM(E93:G93)</f>
        <v>4</v>
      </c>
      <c r="I93" s="223"/>
      <c r="J93" s="86">
        <f>H93*I93</f>
        <v>0</v>
      </c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6"/>
      <c r="Z93" s="176"/>
      <c r="AA93" s="176"/>
      <c r="AB93" s="176"/>
      <c r="AC93" s="176"/>
      <c r="AD93" s="176"/>
      <c r="AE93" s="176"/>
      <c r="AF93" s="176"/>
      <c r="AG93" s="176"/>
      <c r="AH93" s="176"/>
      <c r="AI93" s="176"/>
      <c r="AJ93" s="176"/>
      <c r="AK93" s="176"/>
      <c r="AL93" s="176"/>
      <c r="AM93" s="176"/>
      <c r="AN93" s="176"/>
      <c r="AO93" s="176"/>
      <c r="AP93" s="176"/>
      <c r="AQ93" s="176"/>
      <c r="AR93" s="176"/>
      <c r="AS93" s="176"/>
    </row>
    <row r="94" spans="1:45" s="7" customFormat="1" ht="24.95" customHeight="1" x14ac:dyDescent="0.25">
      <c r="A94" s="46" t="s">
        <v>119</v>
      </c>
      <c r="B94" s="252" t="s">
        <v>102</v>
      </c>
      <c r="C94" s="252"/>
      <c r="D94" s="26" t="s">
        <v>10</v>
      </c>
      <c r="E94" s="27">
        <v>1</v>
      </c>
      <c r="F94" s="27">
        <v>3</v>
      </c>
      <c r="G94" s="27">
        <v>0</v>
      </c>
      <c r="H94" s="15">
        <f t="shared" ref="H94:H95" si="21">SUM(E94:G94)</f>
        <v>4</v>
      </c>
      <c r="I94" s="223"/>
      <c r="J94" s="86">
        <f>H94*I94</f>
        <v>0</v>
      </c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  <c r="AA94" s="176"/>
      <c r="AB94" s="176"/>
      <c r="AC94" s="176"/>
      <c r="AD94" s="176"/>
      <c r="AE94" s="176"/>
      <c r="AF94" s="176"/>
      <c r="AG94" s="176"/>
      <c r="AH94" s="176"/>
      <c r="AI94" s="176"/>
      <c r="AJ94" s="176"/>
      <c r="AK94" s="176"/>
      <c r="AL94" s="176"/>
      <c r="AM94" s="176"/>
      <c r="AN94" s="176"/>
      <c r="AO94" s="176"/>
      <c r="AP94" s="176"/>
      <c r="AQ94" s="176"/>
      <c r="AR94" s="176"/>
      <c r="AS94" s="176"/>
    </row>
    <row r="95" spans="1:45" s="7" customFormat="1" ht="24.95" customHeight="1" x14ac:dyDescent="0.25">
      <c r="A95" s="23" t="s">
        <v>26</v>
      </c>
      <c r="B95" s="288" t="s">
        <v>177</v>
      </c>
      <c r="C95" s="288"/>
      <c r="D95" s="23" t="s">
        <v>12</v>
      </c>
      <c r="E95" s="24">
        <f t="shared" ref="E95:F95" si="22">E94*0.23</f>
        <v>0.23</v>
      </c>
      <c r="F95" s="24">
        <f t="shared" si="22"/>
        <v>0.69000000000000006</v>
      </c>
      <c r="G95" s="24">
        <f>G94*0.23</f>
        <v>0</v>
      </c>
      <c r="H95" s="15">
        <f t="shared" si="21"/>
        <v>0.92</v>
      </c>
      <c r="I95" s="221"/>
      <c r="J95" s="86">
        <f>H95*I95</f>
        <v>0</v>
      </c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6"/>
      <c r="AD95" s="176"/>
      <c r="AE95" s="176"/>
      <c r="AF95" s="176"/>
      <c r="AG95" s="176"/>
      <c r="AH95" s="176"/>
      <c r="AI95" s="176"/>
      <c r="AJ95" s="176"/>
      <c r="AK95" s="176"/>
      <c r="AL95" s="176"/>
      <c r="AM95" s="176"/>
      <c r="AN95" s="176"/>
      <c r="AO95" s="176"/>
      <c r="AP95" s="176"/>
      <c r="AQ95" s="176"/>
      <c r="AR95" s="176"/>
      <c r="AS95" s="176"/>
    </row>
    <row r="96" spans="1:45" s="7" customFormat="1" ht="24.95" customHeight="1" x14ac:dyDescent="0.25">
      <c r="A96" s="44"/>
      <c r="B96" s="322" t="s">
        <v>211</v>
      </c>
      <c r="C96" s="322"/>
      <c r="D96" s="34"/>
      <c r="E96" s="34"/>
      <c r="F96" s="34"/>
      <c r="G96" s="34"/>
      <c r="H96" s="34"/>
      <c r="I96" s="69"/>
      <c r="J96" s="84">
        <f>SUM(J93:J95)</f>
        <v>0</v>
      </c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76"/>
      <c r="AE96" s="176"/>
      <c r="AF96" s="176"/>
      <c r="AG96" s="176"/>
      <c r="AH96" s="176"/>
      <c r="AI96" s="176"/>
      <c r="AJ96" s="176"/>
      <c r="AK96" s="176"/>
      <c r="AL96" s="176"/>
      <c r="AM96" s="176"/>
      <c r="AN96" s="176"/>
      <c r="AO96" s="176"/>
      <c r="AP96" s="176"/>
      <c r="AQ96" s="176"/>
      <c r="AR96" s="176"/>
      <c r="AS96" s="176"/>
    </row>
    <row r="97" spans="1:45" s="7" customFormat="1" ht="24.95" customHeight="1" x14ac:dyDescent="0.25">
      <c r="A97" s="15"/>
      <c r="B97" s="326" t="s">
        <v>194</v>
      </c>
      <c r="C97" s="326"/>
      <c r="D97" s="34"/>
      <c r="E97" s="34"/>
      <c r="F97" s="34"/>
      <c r="G97" s="34"/>
      <c r="H97" s="34"/>
      <c r="I97" s="69"/>
      <c r="J97" s="240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  <c r="AB97" s="176"/>
      <c r="AC97" s="176"/>
      <c r="AD97" s="176"/>
      <c r="AE97" s="176"/>
      <c r="AF97" s="176"/>
      <c r="AG97" s="176"/>
      <c r="AH97" s="176"/>
      <c r="AI97" s="176"/>
      <c r="AJ97" s="176"/>
      <c r="AK97" s="176"/>
      <c r="AL97" s="176"/>
      <c r="AM97" s="176"/>
      <c r="AN97" s="176"/>
      <c r="AO97" s="176"/>
      <c r="AP97" s="176"/>
      <c r="AQ97" s="176"/>
      <c r="AR97" s="176"/>
      <c r="AS97" s="176"/>
    </row>
    <row r="98" spans="1:45" ht="24.95" customHeight="1" x14ac:dyDescent="0.2">
      <c r="A98" s="15"/>
      <c r="B98" s="340" t="s">
        <v>32</v>
      </c>
      <c r="C98" s="317"/>
      <c r="D98" s="317"/>
      <c r="E98" s="317"/>
      <c r="F98" s="317"/>
      <c r="G98" s="317"/>
      <c r="H98" s="317"/>
      <c r="I98" s="317"/>
      <c r="J98" s="317"/>
    </row>
    <row r="99" spans="1:45" ht="24.95" customHeight="1" x14ac:dyDescent="0.2">
      <c r="A99" s="15" t="s">
        <v>25</v>
      </c>
      <c r="B99" s="329" t="s">
        <v>131</v>
      </c>
      <c r="C99" s="329"/>
      <c r="D99" s="45" t="s">
        <v>11</v>
      </c>
      <c r="E99" s="45">
        <v>41</v>
      </c>
      <c r="F99" s="45">
        <v>3</v>
      </c>
      <c r="G99" s="184">
        <v>10</v>
      </c>
      <c r="H99" s="53">
        <f>SUM(E99:G99)</f>
        <v>54</v>
      </c>
      <c r="I99" s="224"/>
      <c r="J99" s="185">
        <f>H99*I99</f>
        <v>0</v>
      </c>
    </row>
    <row r="100" spans="1:45" s="12" customFormat="1" ht="24.95" customHeight="1" x14ac:dyDescent="0.2">
      <c r="A100" s="51"/>
      <c r="B100" s="318" t="s">
        <v>33</v>
      </c>
      <c r="C100" s="318"/>
      <c r="D100" s="38"/>
      <c r="E100" s="38"/>
      <c r="F100" s="38"/>
      <c r="G100" s="38"/>
      <c r="H100" s="186"/>
      <c r="I100" s="39"/>
      <c r="J100" s="187">
        <f>+SUM(J99:J99)</f>
        <v>0</v>
      </c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6"/>
      <c r="AI100" s="176"/>
      <c r="AJ100" s="176"/>
      <c r="AK100" s="176"/>
      <c r="AL100" s="176"/>
      <c r="AM100" s="176"/>
      <c r="AN100" s="176"/>
      <c r="AO100" s="176"/>
      <c r="AP100" s="176"/>
      <c r="AQ100" s="176"/>
      <c r="AR100" s="176"/>
      <c r="AS100" s="176"/>
    </row>
    <row r="101" spans="1:45" s="71" customFormat="1" ht="35.1" customHeight="1" x14ac:dyDescent="0.25">
      <c r="A101" s="72"/>
      <c r="B101" s="327" t="s">
        <v>188</v>
      </c>
      <c r="C101" s="327"/>
      <c r="D101" s="327"/>
      <c r="E101" s="327"/>
      <c r="F101" s="327"/>
      <c r="G101" s="327"/>
      <c r="H101" s="327"/>
      <c r="I101" s="327"/>
      <c r="J101" s="188">
        <f>SUM(J100,J97,J96,J91,J86,J79,J74,J69,J64,J59,J54)</f>
        <v>0</v>
      </c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6"/>
      <c r="AG101" s="176"/>
      <c r="AH101" s="176"/>
      <c r="AI101" s="176"/>
      <c r="AJ101" s="176"/>
      <c r="AK101" s="176"/>
      <c r="AL101" s="176"/>
      <c r="AM101" s="176"/>
      <c r="AN101" s="176"/>
      <c r="AO101" s="176"/>
      <c r="AP101" s="176"/>
      <c r="AQ101" s="176"/>
      <c r="AR101" s="176"/>
      <c r="AS101" s="176"/>
    </row>
    <row r="102" spans="1:45" ht="35.1" customHeight="1" x14ac:dyDescent="0.2">
      <c r="A102" s="56"/>
      <c r="B102" s="328" t="s">
        <v>192</v>
      </c>
      <c r="C102" s="328"/>
      <c r="D102" s="328"/>
      <c r="E102" s="328"/>
      <c r="F102" s="328"/>
      <c r="G102" s="328"/>
      <c r="H102" s="328"/>
      <c r="I102" s="328"/>
      <c r="J102" s="328"/>
    </row>
    <row r="103" spans="1:45" s="48" customFormat="1" ht="24.95" customHeight="1" x14ac:dyDescent="0.25">
      <c r="A103" s="241"/>
      <c r="B103" s="242" t="s">
        <v>8</v>
      </c>
      <c r="C103" s="242"/>
      <c r="D103" s="242" t="s">
        <v>186</v>
      </c>
      <c r="E103" s="243" t="s">
        <v>100</v>
      </c>
      <c r="F103" s="243"/>
      <c r="G103" s="243"/>
      <c r="H103" s="243"/>
      <c r="I103" s="244" t="s">
        <v>4</v>
      </c>
      <c r="J103" s="245" t="s">
        <v>101</v>
      </c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  <c r="AC103" s="176"/>
      <c r="AD103" s="176"/>
      <c r="AE103" s="176"/>
      <c r="AF103" s="176"/>
      <c r="AG103" s="176"/>
      <c r="AH103" s="176"/>
      <c r="AI103" s="176"/>
      <c r="AJ103" s="176"/>
      <c r="AK103" s="176"/>
      <c r="AL103" s="176"/>
      <c r="AM103" s="176"/>
      <c r="AN103" s="176"/>
      <c r="AO103" s="176"/>
      <c r="AP103" s="176"/>
      <c r="AQ103" s="176"/>
      <c r="AR103" s="176"/>
      <c r="AS103" s="176"/>
    </row>
    <row r="104" spans="1:45" s="7" customFormat="1" ht="24.95" customHeight="1" x14ac:dyDescent="0.25">
      <c r="A104" s="241"/>
      <c r="B104" s="242"/>
      <c r="C104" s="242"/>
      <c r="D104" s="242"/>
      <c r="E104" s="138" t="s">
        <v>244</v>
      </c>
      <c r="F104" s="138" t="s">
        <v>245</v>
      </c>
      <c r="G104" s="138" t="s">
        <v>246</v>
      </c>
      <c r="H104" s="177" t="s">
        <v>9</v>
      </c>
      <c r="I104" s="244"/>
      <c r="J104" s="245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176"/>
      <c r="AD104" s="176"/>
      <c r="AE104" s="176"/>
      <c r="AF104" s="176"/>
      <c r="AG104" s="176"/>
      <c r="AH104" s="176"/>
      <c r="AI104" s="176"/>
      <c r="AJ104" s="176"/>
      <c r="AK104" s="176"/>
      <c r="AL104" s="176"/>
      <c r="AM104" s="176"/>
      <c r="AN104" s="176"/>
      <c r="AO104" s="176"/>
      <c r="AP104" s="176"/>
      <c r="AQ104" s="176"/>
      <c r="AR104" s="176"/>
      <c r="AS104" s="176"/>
    </row>
    <row r="105" spans="1:45" ht="24.95" customHeight="1" x14ac:dyDescent="0.2">
      <c r="A105" s="46"/>
      <c r="B105" s="253" t="s">
        <v>306</v>
      </c>
      <c r="C105" s="254"/>
      <c r="D105" s="254"/>
      <c r="E105" s="254"/>
      <c r="F105" s="254"/>
      <c r="G105" s="254"/>
      <c r="H105" s="254"/>
      <c r="I105" s="254"/>
      <c r="J105" s="254"/>
    </row>
    <row r="106" spans="1:45" ht="24.95" customHeight="1" x14ac:dyDescent="0.2">
      <c r="A106" s="46" t="s">
        <v>125</v>
      </c>
      <c r="B106" s="252" t="s">
        <v>120</v>
      </c>
      <c r="C106" s="252"/>
      <c r="D106" s="25" t="s">
        <v>10</v>
      </c>
      <c r="E106" s="25">
        <v>0</v>
      </c>
      <c r="F106" s="25">
        <v>2</v>
      </c>
      <c r="G106" s="14">
        <v>0</v>
      </c>
      <c r="H106" s="132">
        <f>SUM(E106:G106)</f>
        <v>2</v>
      </c>
      <c r="I106" s="223"/>
      <c r="J106" s="87">
        <f>H106*I106</f>
        <v>0</v>
      </c>
    </row>
    <row r="107" spans="1:45" ht="24.95" customHeight="1" x14ac:dyDescent="0.2">
      <c r="A107" s="46" t="s">
        <v>126</v>
      </c>
      <c r="B107" s="252" t="s">
        <v>121</v>
      </c>
      <c r="C107" s="252"/>
      <c r="D107" s="25" t="s">
        <v>10</v>
      </c>
      <c r="E107" s="25">
        <v>2</v>
      </c>
      <c r="F107" s="25">
        <v>2</v>
      </c>
      <c r="G107" s="14">
        <v>0</v>
      </c>
      <c r="H107" s="132">
        <f t="shared" ref="H107:H111" si="23">SUM(E107:G107)</f>
        <v>4</v>
      </c>
      <c r="I107" s="223"/>
      <c r="J107" s="87">
        <f t="shared" ref="J107:J110" si="24">H107*I107</f>
        <v>0</v>
      </c>
    </row>
    <row r="108" spans="1:45" ht="24.95" customHeight="1" x14ac:dyDescent="0.2">
      <c r="A108" s="46" t="s">
        <v>127</v>
      </c>
      <c r="B108" s="252" t="s">
        <v>122</v>
      </c>
      <c r="C108" s="252"/>
      <c r="D108" s="25" t="s">
        <v>10</v>
      </c>
      <c r="E108" s="25">
        <v>1</v>
      </c>
      <c r="F108" s="25">
        <v>2</v>
      </c>
      <c r="G108" s="14">
        <v>1</v>
      </c>
      <c r="H108" s="132">
        <f t="shared" si="23"/>
        <v>4</v>
      </c>
      <c r="I108" s="223"/>
      <c r="J108" s="87">
        <f t="shared" si="24"/>
        <v>0</v>
      </c>
    </row>
    <row r="109" spans="1:45" ht="24.95" customHeight="1" x14ac:dyDescent="0.2">
      <c r="A109" s="46" t="s">
        <v>184</v>
      </c>
      <c r="B109" s="252" t="s">
        <v>183</v>
      </c>
      <c r="C109" s="252"/>
      <c r="D109" s="25" t="s">
        <v>10</v>
      </c>
      <c r="E109" s="25">
        <v>3</v>
      </c>
      <c r="F109" s="25">
        <v>2</v>
      </c>
      <c r="G109" s="14">
        <v>0</v>
      </c>
      <c r="H109" s="132">
        <f t="shared" si="23"/>
        <v>5</v>
      </c>
      <c r="I109" s="223"/>
      <c r="J109" s="87">
        <f t="shared" si="24"/>
        <v>0</v>
      </c>
    </row>
    <row r="110" spans="1:45" ht="24.95" customHeight="1" x14ac:dyDescent="0.2">
      <c r="A110" s="46" t="s">
        <v>128</v>
      </c>
      <c r="B110" s="252" t="s">
        <v>123</v>
      </c>
      <c r="C110" s="252"/>
      <c r="D110" s="25" t="s">
        <v>10</v>
      </c>
      <c r="E110" s="25">
        <v>1</v>
      </c>
      <c r="F110" s="25">
        <v>1</v>
      </c>
      <c r="G110" s="14">
        <v>0</v>
      </c>
      <c r="H110" s="132">
        <f t="shared" si="23"/>
        <v>2</v>
      </c>
      <c r="I110" s="223"/>
      <c r="J110" s="87">
        <f t="shared" si="24"/>
        <v>0</v>
      </c>
    </row>
    <row r="111" spans="1:45" ht="24.95" customHeight="1" x14ac:dyDescent="0.2">
      <c r="A111" s="46" t="s">
        <v>25</v>
      </c>
      <c r="B111" s="304" t="s">
        <v>178</v>
      </c>
      <c r="C111" s="304"/>
      <c r="D111" s="25" t="s">
        <v>12</v>
      </c>
      <c r="E111" s="25">
        <v>3</v>
      </c>
      <c r="F111" s="25">
        <v>2.5</v>
      </c>
      <c r="G111" s="14">
        <v>0</v>
      </c>
      <c r="H111" s="132">
        <f t="shared" si="23"/>
        <v>5.5</v>
      </c>
      <c r="I111" s="225"/>
      <c r="J111" s="189">
        <f>H111*I111</f>
        <v>0</v>
      </c>
    </row>
    <row r="112" spans="1:45" ht="24.95" customHeight="1" x14ac:dyDescent="0.2">
      <c r="A112" s="107" t="s">
        <v>25</v>
      </c>
      <c r="B112" s="250" t="s">
        <v>384</v>
      </c>
      <c r="C112" s="251"/>
      <c r="D112" s="25" t="s">
        <v>12</v>
      </c>
      <c r="E112" s="25">
        <v>3</v>
      </c>
      <c r="F112" s="25">
        <v>2.5</v>
      </c>
      <c r="G112" s="14">
        <v>0</v>
      </c>
      <c r="H112" s="132">
        <f t="shared" ref="H112" si="25">SUM(E112:G112)</f>
        <v>5.5</v>
      </c>
      <c r="I112" s="225"/>
      <c r="J112" s="189">
        <f>H112*I112</f>
        <v>0</v>
      </c>
    </row>
    <row r="113" spans="1:45" ht="24.95" customHeight="1" x14ac:dyDescent="0.2">
      <c r="A113" s="15"/>
      <c r="B113" s="335" t="s">
        <v>124</v>
      </c>
      <c r="C113" s="335"/>
      <c r="D113" s="190"/>
      <c r="E113" s="191">
        <f>SUM(E106:E110)</f>
        <v>7</v>
      </c>
      <c r="F113" s="191">
        <f>SUM(F106:F111)</f>
        <v>11.5</v>
      </c>
      <c r="G113" s="191">
        <v>0.5</v>
      </c>
      <c r="H113" s="192"/>
      <c r="I113" s="193"/>
      <c r="J113" s="194">
        <f>SUM(J106:J112)</f>
        <v>0</v>
      </c>
    </row>
    <row r="114" spans="1:45" ht="24.95" customHeight="1" x14ac:dyDescent="0.2">
      <c r="A114" s="15"/>
      <c r="B114" s="317" t="s">
        <v>13</v>
      </c>
      <c r="C114" s="317"/>
      <c r="D114" s="317"/>
      <c r="E114" s="317"/>
      <c r="F114" s="317"/>
      <c r="G114" s="317"/>
      <c r="H114" s="317"/>
      <c r="I114" s="317"/>
      <c r="J114" s="317"/>
    </row>
    <row r="115" spans="1:45" s="47" customFormat="1" ht="24.75" customHeight="1" x14ac:dyDescent="0.2">
      <c r="A115" s="46" t="s">
        <v>25</v>
      </c>
      <c r="B115" s="256" t="s">
        <v>165</v>
      </c>
      <c r="C115" s="256"/>
      <c r="D115" s="45" t="s">
        <v>11</v>
      </c>
      <c r="E115" s="28">
        <v>277</v>
      </c>
      <c r="F115" s="28">
        <v>109</v>
      </c>
      <c r="G115" s="28">
        <v>130</v>
      </c>
      <c r="H115" s="28">
        <f>SUM(E115:G115)</f>
        <v>516</v>
      </c>
      <c r="I115" s="226"/>
      <c r="J115" s="185">
        <f>I115*H115</f>
        <v>0</v>
      </c>
      <c r="K115" s="176"/>
      <c r="L115" s="176"/>
      <c r="M115" s="176"/>
      <c r="N115" s="176"/>
      <c r="O115" s="176"/>
      <c r="P115" s="176"/>
      <c r="Q115" s="176"/>
      <c r="R115" s="176"/>
      <c r="S115" s="176"/>
      <c r="T115" s="176"/>
      <c r="U115" s="176"/>
      <c r="V115" s="176"/>
      <c r="W115" s="176"/>
      <c r="X115" s="176"/>
      <c r="Y115" s="176"/>
      <c r="Z115" s="176"/>
      <c r="AA115" s="176"/>
      <c r="AB115" s="176"/>
      <c r="AC115" s="176"/>
      <c r="AD115" s="176"/>
      <c r="AE115" s="176"/>
      <c r="AF115" s="176"/>
      <c r="AG115" s="176"/>
      <c r="AH115" s="176"/>
      <c r="AI115" s="176"/>
      <c r="AJ115" s="176"/>
      <c r="AK115" s="176"/>
      <c r="AL115" s="176"/>
      <c r="AM115" s="176"/>
      <c r="AN115" s="176"/>
      <c r="AO115" s="176"/>
      <c r="AP115" s="176"/>
      <c r="AQ115" s="176"/>
      <c r="AR115" s="176"/>
      <c r="AS115" s="176"/>
    </row>
    <row r="116" spans="1:45" s="47" customFormat="1" ht="24.95" customHeight="1" x14ac:dyDescent="0.2">
      <c r="A116" s="45" t="s">
        <v>48</v>
      </c>
      <c r="B116" s="330" t="s">
        <v>30</v>
      </c>
      <c r="C116" s="331"/>
      <c r="D116" s="45" t="s">
        <v>11</v>
      </c>
      <c r="E116" s="53">
        <v>0</v>
      </c>
      <c r="F116" s="53">
        <v>109</v>
      </c>
      <c r="G116" s="53">
        <v>130</v>
      </c>
      <c r="H116" s="28">
        <f t="shared" ref="H116:H121" si="26">SUM(E116:G116)</f>
        <v>239</v>
      </c>
      <c r="I116" s="227"/>
      <c r="J116" s="185">
        <f t="shared" ref="J116:J122" si="27">I116*H116</f>
        <v>0</v>
      </c>
      <c r="K116" s="176"/>
      <c r="L116" s="176"/>
      <c r="M116" s="176"/>
      <c r="N116" s="176"/>
      <c r="O116" s="176"/>
      <c r="P116" s="176"/>
      <c r="Q116" s="176"/>
      <c r="R116" s="176"/>
      <c r="S116" s="176"/>
      <c r="T116" s="176"/>
      <c r="U116" s="176"/>
      <c r="V116" s="176"/>
      <c r="W116" s="176"/>
      <c r="X116" s="176"/>
      <c r="Y116" s="176"/>
      <c r="Z116" s="176"/>
      <c r="AA116" s="176"/>
      <c r="AB116" s="176"/>
      <c r="AC116" s="176"/>
      <c r="AD116" s="176"/>
      <c r="AE116" s="176"/>
      <c r="AF116" s="176"/>
      <c r="AG116" s="176"/>
      <c r="AH116" s="176"/>
      <c r="AI116" s="176"/>
      <c r="AJ116" s="176"/>
      <c r="AK116" s="176"/>
      <c r="AL116" s="176"/>
      <c r="AM116" s="176"/>
      <c r="AN116" s="176"/>
      <c r="AO116" s="176"/>
      <c r="AP116" s="176"/>
      <c r="AQ116" s="176"/>
      <c r="AR116" s="176"/>
      <c r="AS116" s="176"/>
    </row>
    <row r="117" spans="1:45" s="47" customFormat="1" ht="24.95" customHeight="1" x14ac:dyDescent="0.2">
      <c r="A117" s="45" t="s">
        <v>130</v>
      </c>
      <c r="B117" s="330" t="s">
        <v>78</v>
      </c>
      <c r="C117" s="331"/>
      <c r="D117" s="45" t="s">
        <v>11</v>
      </c>
      <c r="E117" s="53">
        <v>277</v>
      </c>
      <c r="F117" s="53">
        <v>0</v>
      </c>
      <c r="G117" s="53">
        <v>0</v>
      </c>
      <c r="H117" s="28">
        <f t="shared" si="26"/>
        <v>277</v>
      </c>
      <c r="I117" s="227"/>
      <c r="J117" s="185">
        <f t="shared" si="27"/>
        <v>0</v>
      </c>
      <c r="K117" s="176"/>
      <c r="L117" s="176"/>
      <c r="M117" s="176"/>
      <c r="N117" s="176"/>
      <c r="O117" s="176"/>
      <c r="P117" s="176"/>
      <c r="Q117" s="176"/>
      <c r="R117" s="176"/>
      <c r="S117" s="176"/>
      <c r="T117" s="176"/>
      <c r="U117" s="176"/>
      <c r="V117" s="176"/>
      <c r="W117" s="176"/>
      <c r="X117" s="176"/>
      <c r="Y117" s="176"/>
      <c r="Z117" s="176"/>
      <c r="AA117" s="176"/>
      <c r="AB117" s="176"/>
      <c r="AC117" s="176"/>
      <c r="AD117" s="176"/>
      <c r="AE117" s="176"/>
      <c r="AF117" s="176"/>
      <c r="AG117" s="176"/>
      <c r="AH117" s="176"/>
      <c r="AI117" s="176"/>
      <c r="AJ117" s="176"/>
      <c r="AK117" s="176"/>
      <c r="AL117" s="176"/>
      <c r="AM117" s="176"/>
      <c r="AN117" s="176"/>
      <c r="AO117" s="176"/>
      <c r="AP117" s="176"/>
      <c r="AQ117" s="176"/>
      <c r="AR117" s="176"/>
      <c r="AS117" s="176"/>
    </row>
    <row r="118" spans="1:45" s="47" customFormat="1" ht="24.95" customHeight="1" x14ac:dyDescent="0.2">
      <c r="A118" s="45" t="s">
        <v>26</v>
      </c>
      <c r="B118" s="332" t="s">
        <v>149</v>
      </c>
      <c r="C118" s="330"/>
      <c r="D118" s="45" t="s">
        <v>42</v>
      </c>
      <c r="E118" s="195">
        <f t="shared" ref="E118:F118" si="28">SUM(E116*0.0008+E117*0.0008)</f>
        <v>0.22160000000000002</v>
      </c>
      <c r="F118" s="195">
        <f t="shared" si="28"/>
        <v>8.72E-2</v>
      </c>
      <c r="G118" s="195">
        <f>SUM(G116*0.0008+G117*0.0008)</f>
        <v>0.10400000000000001</v>
      </c>
      <c r="H118" s="28">
        <f t="shared" si="26"/>
        <v>0.41280000000000006</v>
      </c>
      <c r="I118" s="227"/>
      <c r="J118" s="185">
        <f t="shared" si="27"/>
        <v>0</v>
      </c>
      <c r="K118" s="176"/>
      <c r="L118" s="176"/>
      <c r="M118" s="176"/>
      <c r="N118" s="176"/>
      <c r="O118" s="176"/>
      <c r="P118" s="176"/>
      <c r="Q118" s="176"/>
      <c r="R118" s="176"/>
      <c r="S118" s="176"/>
      <c r="T118" s="176"/>
      <c r="U118" s="176"/>
      <c r="V118" s="176"/>
      <c r="W118" s="176"/>
      <c r="X118" s="176"/>
      <c r="Y118" s="176"/>
      <c r="Z118" s="176"/>
      <c r="AA118" s="176"/>
      <c r="AB118" s="176"/>
      <c r="AC118" s="176"/>
      <c r="AD118" s="176"/>
      <c r="AE118" s="176"/>
      <c r="AF118" s="176"/>
      <c r="AG118" s="176"/>
      <c r="AH118" s="176"/>
      <c r="AI118" s="176"/>
      <c r="AJ118" s="176"/>
      <c r="AK118" s="176"/>
      <c r="AL118" s="176"/>
      <c r="AM118" s="176"/>
      <c r="AN118" s="176"/>
      <c r="AO118" s="176"/>
      <c r="AP118" s="176"/>
      <c r="AQ118" s="176"/>
      <c r="AR118" s="176"/>
      <c r="AS118" s="176"/>
    </row>
    <row r="119" spans="1:45" s="47" customFormat="1" ht="24.95" customHeight="1" x14ac:dyDescent="0.2">
      <c r="A119" s="45" t="s">
        <v>62</v>
      </c>
      <c r="B119" s="330" t="s">
        <v>90</v>
      </c>
      <c r="C119" s="330"/>
      <c r="D119" s="45" t="s">
        <v>11</v>
      </c>
      <c r="E119" s="53">
        <f t="shared" ref="E119:F119" si="29">SUM(E116)</f>
        <v>0</v>
      </c>
      <c r="F119" s="53">
        <f t="shared" si="29"/>
        <v>109</v>
      </c>
      <c r="G119" s="53">
        <f>SUM(G116)</f>
        <v>130</v>
      </c>
      <c r="H119" s="28">
        <f t="shared" si="26"/>
        <v>239</v>
      </c>
      <c r="I119" s="227"/>
      <c r="J119" s="185">
        <f t="shared" si="27"/>
        <v>0</v>
      </c>
      <c r="K119" s="176"/>
      <c r="L119" s="176"/>
      <c r="M119" s="176"/>
      <c r="N119" s="176"/>
      <c r="O119" s="176"/>
      <c r="P119" s="176"/>
      <c r="Q119" s="176"/>
      <c r="R119" s="176"/>
      <c r="S119" s="176"/>
      <c r="T119" s="176"/>
      <c r="U119" s="176"/>
      <c r="V119" s="176"/>
      <c r="W119" s="176"/>
      <c r="X119" s="176"/>
      <c r="Y119" s="176"/>
      <c r="Z119" s="176"/>
      <c r="AA119" s="176"/>
      <c r="AB119" s="176"/>
      <c r="AC119" s="176"/>
      <c r="AD119" s="176"/>
      <c r="AE119" s="176"/>
      <c r="AF119" s="176"/>
      <c r="AG119" s="176"/>
      <c r="AH119" s="176"/>
      <c r="AI119" s="176"/>
      <c r="AJ119" s="176"/>
      <c r="AK119" s="176"/>
      <c r="AL119" s="176"/>
      <c r="AM119" s="176"/>
      <c r="AN119" s="176"/>
      <c r="AO119" s="176"/>
      <c r="AP119" s="176"/>
      <c r="AQ119" s="176"/>
      <c r="AR119" s="176"/>
      <c r="AS119" s="176"/>
    </row>
    <row r="120" spans="1:45" s="47" customFormat="1" ht="24.95" customHeight="1" x14ac:dyDescent="0.2">
      <c r="A120" s="45" t="s">
        <v>88</v>
      </c>
      <c r="B120" s="330" t="s">
        <v>89</v>
      </c>
      <c r="C120" s="330"/>
      <c r="D120" s="45" t="s">
        <v>11</v>
      </c>
      <c r="E120" s="53">
        <f t="shared" ref="E120:F120" si="30">SUM(E117)</f>
        <v>277</v>
      </c>
      <c r="F120" s="53">
        <f t="shared" si="30"/>
        <v>0</v>
      </c>
      <c r="G120" s="53">
        <f>SUM(G117)</f>
        <v>0</v>
      </c>
      <c r="H120" s="28">
        <f t="shared" si="26"/>
        <v>277</v>
      </c>
      <c r="I120" s="227"/>
      <c r="J120" s="185">
        <f t="shared" si="27"/>
        <v>0</v>
      </c>
      <c r="K120" s="176"/>
      <c r="L120" s="176"/>
      <c r="M120" s="176"/>
      <c r="N120" s="176"/>
      <c r="O120" s="176"/>
      <c r="P120" s="176"/>
      <c r="Q120" s="176"/>
      <c r="R120" s="176"/>
      <c r="S120" s="176"/>
      <c r="T120" s="176"/>
      <c r="U120" s="176"/>
      <c r="V120" s="176"/>
      <c r="W120" s="176"/>
      <c r="X120" s="176"/>
      <c r="Y120" s="176"/>
      <c r="Z120" s="176"/>
      <c r="AA120" s="176"/>
      <c r="AB120" s="176"/>
      <c r="AC120" s="176"/>
      <c r="AD120" s="176"/>
      <c r="AE120" s="176"/>
      <c r="AF120" s="176"/>
      <c r="AG120" s="176"/>
      <c r="AH120" s="176"/>
      <c r="AI120" s="176"/>
      <c r="AJ120" s="176"/>
      <c r="AK120" s="176"/>
      <c r="AL120" s="176"/>
      <c r="AM120" s="176"/>
      <c r="AN120" s="176"/>
      <c r="AO120" s="176"/>
      <c r="AP120" s="176"/>
      <c r="AQ120" s="176"/>
      <c r="AR120" s="176"/>
      <c r="AS120" s="176"/>
    </row>
    <row r="121" spans="1:45" s="108" customFormat="1" ht="24.95" customHeight="1" x14ac:dyDescent="0.2">
      <c r="A121" s="107" t="s">
        <v>25</v>
      </c>
      <c r="B121" s="246" t="s">
        <v>385</v>
      </c>
      <c r="C121" s="247"/>
      <c r="D121" s="107" t="s">
        <v>21</v>
      </c>
      <c r="E121" s="79">
        <f t="shared" ref="E121:F121" si="31">E115*0.001</f>
        <v>0.27700000000000002</v>
      </c>
      <c r="F121" s="79">
        <f t="shared" si="31"/>
        <v>0.109</v>
      </c>
      <c r="G121" s="79">
        <f>G115*0.001</f>
        <v>0.13</v>
      </c>
      <c r="H121" s="28">
        <f t="shared" si="26"/>
        <v>0.51600000000000001</v>
      </c>
      <c r="I121" s="227"/>
      <c r="J121" s="196">
        <f t="shared" si="27"/>
        <v>0</v>
      </c>
      <c r="K121" s="176"/>
      <c r="L121" s="176"/>
      <c r="M121" s="176"/>
      <c r="N121" s="176"/>
      <c r="O121" s="176"/>
      <c r="P121" s="176"/>
      <c r="Q121" s="176"/>
      <c r="R121" s="176"/>
      <c r="S121" s="176"/>
      <c r="T121" s="176"/>
      <c r="U121" s="176"/>
      <c r="V121" s="176"/>
      <c r="W121" s="176"/>
      <c r="X121" s="176"/>
      <c r="Y121" s="176"/>
      <c r="Z121" s="176"/>
      <c r="AA121" s="176"/>
      <c r="AB121" s="176"/>
      <c r="AC121" s="176"/>
      <c r="AD121" s="176"/>
      <c r="AE121" s="176"/>
      <c r="AF121" s="176"/>
      <c r="AG121" s="176"/>
      <c r="AH121" s="176"/>
      <c r="AI121" s="176"/>
      <c r="AJ121" s="176"/>
      <c r="AK121" s="176"/>
      <c r="AL121" s="176"/>
      <c r="AM121" s="176"/>
      <c r="AN121" s="176"/>
      <c r="AO121" s="176"/>
      <c r="AP121" s="176"/>
      <c r="AQ121" s="176"/>
      <c r="AR121" s="176"/>
      <c r="AS121" s="176"/>
    </row>
    <row r="122" spans="1:45" s="108" customFormat="1" ht="24.95" customHeight="1" x14ac:dyDescent="0.2">
      <c r="A122" s="107" t="s">
        <v>25</v>
      </c>
      <c r="B122" s="250" t="s">
        <v>384</v>
      </c>
      <c r="C122" s="251"/>
      <c r="D122" s="107" t="s">
        <v>21</v>
      </c>
      <c r="E122" s="79">
        <v>0.27700000000000002</v>
      </c>
      <c r="F122" s="79">
        <v>0.109</v>
      </c>
      <c r="G122" s="79">
        <v>0.13</v>
      </c>
      <c r="H122" s="28">
        <v>0.51600000000000001</v>
      </c>
      <c r="I122" s="227"/>
      <c r="J122" s="196">
        <f t="shared" si="27"/>
        <v>0</v>
      </c>
      <c r="K122" s="176"/>
      <c r="L122" s="176"/>
      <c r="M122" s="176"/>
      <c r="N122" s="176"/>
      <c r="O122" s="176"/>
      <c r="P122" s="176"/>
      <c r="Q122" s="176"/>
      <c r="R122" s="176"/>
      <c r="S122" s="176"/>
      <c r="T122" s="176"/>
      <c r="U122" s="176"/>
      <c r="V122" s="176"/>
      <c r="W122" s="176"/>
      <c r="X122" s="176"/>
      <c r="Y122" s="176"/>
      <c r="Z122" s="176"/>
      <c r="AA122" s="176"/>
      <c r="AB122" s="176"/>
      <c r="AC122" s="176"/>
      <c r="AD122" s="176"/>
      <c r="AE122" s="176"/>
      <c r="AF122" s="176"/>
      <c r="AG122" s="176"/>
      <c r="AH122" s="176"/>
      <c r="AI122" s="176"/>
      <c r="AJ122" s="176"/>
      <c r="AK122" s="176"/>
      <c r="AL122" s="176"/>
      <c r="AM122" s="176"/>
      <c r="AN122" s="176"/>
      <c r="AO122" s="176"/>
      <c r="AP122" s="176"/>
      <c r="AQ122" s="176"/>
      <c r="AR122" s="176"/>
      <c r="AS122" s="176"/>
    </row>
    <row r="123" spans="1:45" ht="24.95" customHeight="1" x14ac:dyDescent="0.2">
      <c r="A123" s="15"/>
      <c r="B123" s="333" t="s">
        <v>14</v>
      </c>
      <c r="C123" s="333"/>
      <c r="D123" s="81"/>
      <c r="E123" s="81"/>
      <c r="F123" s="81"/>
      <c r="G123" s="81"/>
      <c r="H123" s="197"/>
      <c r="I123" s="198"/>
      <c r="J123" s="199">
        <f>SUM(J115:J122)</f>
        <v>0</v>
      </c>
    </row>
    <row r="124" spans="1:45" s="48" customFormat="1" ht="24.95" customHeight="1" x14ac:dyDescent="0.25">
      <c r="A124" s="241"/>
      <c r="B124" s="242" t="s">
        <v>8</v>
      </c>
      <c r="C124" s="242"/>
      <c r="D124" s="242" t="s">
        <v>186</v>
      </c>
      <c r="E124" s="243" t="s">
        <v>100</v>
      </c>
      <c r="F124" s="243"/>
      <c r="G124" s="243"/>
      <c r="H124" s="243"/>
      <c r="I124" s="244" t="s">
        <v>4</v>
      </c>
      <c r="J124" s="245" t="s">
        <v>101</v>
      </c>
      <c r="K124" s="176"/>
      <c r="L124" s="176"/>
      <c r="M124" s="176"/>
      <c r="N124" s="176"/>
      <c r="O124" s="176"/>
      <c r="P124" s="176"/>
      <c r="Q124" s="176"/>
      <c r="R124" s="176"/>
      <c r="S124" s="176"/>
      <c r="T124" s="176"/>
      <c r="U124" s="176"/>
      <c r="V124" s="176"/>
      <c r="W124" s="176"/>
      <c r="X124" s="176"/>
      <c r="Y124" s="176"/>
      <c r="Z124" s="176"/>
      <c r="AA124" s="176"/>
      <c r="AB124" s="176"/>
      <c r="AC124" s="176"/>
      <c r="AD124" s="176"/>
      <c r="AE124" s="176"/>
      <c r="AF124" s="176"/>
      <c r="AG124" s="176"/>
      <c r="AH124" s="176"/>
      <c r="AI124" s="176"/>
      <c r="AJ124" s="176"/>
      <c r="AK124" s="176"/>
      <c r="AL124" s="176"/>
      <c r="AM124" s="176"/>
      <c r="AN124" s="176"/>
      <c r="AO124" s="176"/>
      <c r="AP124" s="176"/>
      <c r="AQ124" s="176"/>
      <c r="AR124" s="176"/>
      <c r="AS124" s="176"/>
    </row>
    <row r="125" spans="1:45" s="7" customFormat="1" ht="24.95" customHeight="1" x14ac:dyDescent="0.25">
      <c r="A125" s="241"/>
      <c r="B125" s="242"/>
      <c r="C125" s="242"/>
      <c r="D125" s="242"/>
      <c r="E125" s="138" t="s">
        <v>244</v>
      </c>
      <c r="F125" s="138" t="s">
        <v>245</v>
      </c>
      <c r="G125" s="138" t="s">
        <v>246</v>
      </c>
      <c r="H125" s="177" t="s">
        <v>9</v>
      </c>
      <c r="I125" s="244"/>
      <c r="J125" s="245"/>
      <c r="K125" s="176"/>
      <c r="L125" s="176"/>
      <c r="M125" s="176"/>
      <c r="N125" s="176"/>
      <c r="O125" s="176"/>
      <c r="P125" s="176"/>
      <c r="Q125" s="176"/>
      <c r="R125" s="176"/>
      <c r="S125" s="176"/>
      <c r="T125" s="176"/>
      <c r="U125" s="176"/>
      <c r="V125" s="176"/>
      <c r="W125" s="176"/>
      <c r="X125" s="176"/>
      <c r="Y125" s="176"/>
      <c r="Z125" s="176"/>
      <c r="AA125" s="176"/>
      <c r="AB125" s="176"/>
      <c r="AC125" s="176"/>
      <c r="AD125" s="176"/>
      <c r="AE125" s="176"/>
      <c r="AF125" s="176"/>
      <c r="AG125" s="176"/>
      <c r="AH125" s="176"/>
      <c r="AI125" s="176"/>
      <c r="AJ125" s="176"/>
      <c r="AK125" s="176"/>
      <c r="AL125" s="176"/>
      <c r="AM125" s="176"/>
      <c r="AN125" s="176"/>
      <c r="AO125" s="176"/>
      <c r="AP125" s="176"/>
      <c r="AQ125" s="176"/>
      <c r="AR125" s="176"/>
      <c r="AS125" s="176"/>
    </row>
    <row r="126" spans="1:45" ht="24.95" customHeight="1" x14ac:dyDescent="0.2">
      <c r="A126" s="15"/>
      <c r="B126" s="297" t="s">
        <v>19</v>
      </c>
      <c r="C126" s="297"/>
      <c r="D126" s="297"/>
      <c r="E126" s="297"/>
      <c r="F126" s="297"/>
      <c r="G126" s="297"/>
      <c r="H126" s="297"/>
      <c r="I126" s="297"/>
      <c r="J126" s="297"/>
    </row>
    <row r="127" spans="1:45" ht="24.95" customHeight="1" x14ac:dyDescent="0.2">
      <c r="A127" s="52" t="s">
        <v>25</v>
      </c>
      <c r="B127" s="298" t="s">
        <v>156</v>
      </c>
      <c r="C127" s="298"/>
      <c r="D127" s="35" t="s">
        <v>10</v>
      </c>
      <c r="E127" s="49">
        <f>SUM(E14)</f>
        <v>0</v>
      </c>
      <c r="F127" s="49">
        <f>SUM(F14)</f>
        <v>0</v>
      </c>
      <c r="G127" s="49">
        <f>SUM(G14)</f>
        <v>44</v>
      </c>
      <c r="H127" s="49">
        <f t="shared" ref="H127:H138" si="32">SUM(G127:G127)</f>
        <v>44</v>
      </c>
      <c r="I127" s="227"/>
      <c r="J127" s="85">
        <f>I127*H127</f>
        <v>0</v>
      </c>
    </row>
    <row r="128" spans="1:45" ht="24.95" customHeight="1" x14ac:dyDescent="0.2">
      <c r="A128" s="15" t="s">
        <v>129</v>
      </c>
      <c r="B128" s="249" t="s">
        <v>68</v>
      </c>
      <c r="C128" s="249"/>
      <c r="D128" s="15" t="s">
        <v>10</v>
      </c>
      <c r="E128" s="15">
        <v>0</v>
      </c>
      <c r="F128" s="15">
        <v>0</v>
      </c>
      <c r="G128" s="15">
        <v>44</v>
      </c>
      <c r="H128" s="49">
        <f t="shared" si="32"/>
        <v>44</v>
      </c>
      <c r="I128" s="227"/>
      <c r="J128" s="85">
        <f>I128*H128</f>
        <v>0</v>
      </c>
    </row>
    <row r="129" spans="1:45" s="40" customFormat="1" ht="24.95" customHeight="1" x14ac:dyDescent="0.2">
      <c r="A129" s="15" t="s">
        <v>134</v>
      </c>
      <c r="B129" s="256" t="s">
        <v>136</v>
      </c>
      <c r="C129" s="256"/>
      <c r="D129" s="133" t="s">
        <v>10</v>
      </c>
      <c r="E129" s="49">
        <v>0</v>
      </c>
      <c r="F129" s="49">
        <v>0</v>
      </c>
      <c r="G129" s="49">
        <v>44</v>
      </c>
      <c r="H129" s="49">
        <f t="shared" si="32"/>
        <v>44</v>
      </c>
      <c r="I129" s="227"/>
      <c r="J129" s="85">
        <f t="shared" ref="J129:J138" si="33">I129*H129</f>
        <v>0</v>
      </c>
      <c r="K129" s="176"/>
      <c r="L129" s="176"/>
      <c r="M129" s="176"/>
      <c r="N129" s="176"/>
      <c r="O129" s="176"/>
      <c r="P129" s="176"/>
      <c r="Q129" s="176"/>
      <c r="R129" s="176"/>
      <c r="S129" s="176"/>
      <c r="T129" s="176"/>
      <c r="U129" s="176"/>
      <c r="V129" s="176"/>
      <c r="W129" s="176"/>
      <c r="X129" s="176"/>
      <c r="Y129" s="176"/>
      <c r="Z129" s="176"/>
      <c r="AA129" s="176"/>
      <c r="AB129" s="176"/>
      <c r="AC129" s="176"/>
      <c r="AD129" s="176"/>
      <c r="AE129" s="176"/>
      <c r="AF129" s="176"/>
      <c r="AG129" s="176"/>
      <c r="AH129" s="176"/>
      <c r="AI129" s="176"/>
      <c r="AJ129" s="176"/>
      <c r="AK129" s="176"/>
      <c r="AL129" s="176"/>
      <c r="AM129" s="176"/>
      <c r="AN129" s="176"/>
      <c r="AO129" s="176"/>
      <c r="AP129" s="176"/>
      <c r="AQ129" s="176"/>
      <c r="AR129" s="176"/>
      <c r="AS129" s="176"/>
    </row>
    <row r="130" spans="1:45" s="40" customFormat="1" ht="24.95" customHeight="1" x14ac:dyDescent="0.2">
      <c r="A130" s="15" t="s">
        <v>217</v>
      </c>
      <c r="B130" s="255" t="s">
        <v>307</v>
      </c>
      <c r="C130" s="256"/>
      <c r="D130" s="133" t="s">
        <v>12</v>
      </c>
      <c r="E130" s="49">
        <v>0</v>
      </c>
      <c r="F130" s="49">
        <v>0</v>
      </c>
      <c r="G130" s="28">
        <f>10*0.02</f>
        <v>0.2</v>
      </c>
      <c r="H130" s="28">
        <f>SUM(E130:G130)</f>
        <v>0.2</v>
      </c>
      <c r="I130" s="227"/>
      <c r="J130" s="85">
        <f t="shared" si="33"/>
        <v>0</v>
      </c>
      <c r="K130" s="176"/>
      <c r="L130" s="176"/>
      <c r="M130" s="176"/>
      <c r="N130" s="176"/>
      <c r="O130" s="176"/>
      <c r="P130" s="176"/>
      <c r="Q130" s="176"/>
      <c r="R130" s="176"/>
      <c r="S130" s="176"/>
      <c r="T130" s="176"/>
      <c r="U130" s="176"/>
      <c r="V130" s="176"/>
      <c r="W130" s="176"/>
      <c r="X130" s="176"/>
      <c r="Y130" s="176"/>
      <c r="Z130" s="176"/>
      <c r="AA130" s="176"/>
      <c r="AB130" s="176"/>
      <c r="AC130" s="176"/>
      <c r="AD130" s="176"/>
      <c r="AE130" s="176"/>
      <c r="AF130" s="176"/>
      <c r="AG130" s="176"/>
      <c r="AH130" s="176"/>
      <c r="AI130" s="176"/>
      <c r="AJ130" s="176"/>
      <c r="AK130" s="176"/>
      <c r="AL130" s="176"/>
      <c r="AM130" s="176"/>
      <c r="AN130" s="176"/>
      <c r="AO130" s="176"/>
      <c r="AP130" s="176"/>
      <c r="AQ130" s="176"/>
      <c r="AR130" s="176"/>
      <c r="AS130" s="176"/>
    </row>
    <row r="131" spans="1:45" ht="24.95" customHeight="1" x14ac:dyDescent="0.2">
      <c r="A131" s="14" t="s">
        <v>40</v>
      </c>
      <c r="B131" s="301" t="s">
        <v>41</v>
      </c>
      <c r="C131" s="301"/>
      <c r="D131" s="14" t="s">
        <v>21</v>
      </c>
      <c r="E131" s="59">
        <f t="shared" ref="E131:F131" si="34">SUM(E132*0.00001)</f>
        <v>0</v>
      </c>
      <c r="F131" s="59">
        <f t="shared" si="34"/>
        <v>0</v>
      </c>
      <c r="G131" s="59">
        <f>SUM(G132*0.00001)</f>
        <v>4.4000000000000002E-4</v>
      </c>
      <c r="H131" s="200">
        <f t="shared" si="32"/>
        <v>4.4000000000000002E-4</v>
      </c>
      <c r="I131" s="228"/>
      <c r="J131" s="85">
        <f t="shared" si="33"/>
        <v>0</v>
      </c>
    </row>
    <row r="132" spans="1:45" ht="24.95" customHeight="1" x14ac:dyDescent="0.2">
      <c r="A132" s="14" t="s">
        <v>26</v>
      </c>
      <c r="B132" s="334" t="s">
        <v>139</v>
      </c>
      <c r="C132" s="334"/>
      <c r="D132" s="14" t="s">
        <v>10</v>
      </c>
      <c r="E132" s="15">
        <f t="shared" ref="E132:F132" si="35">SUM(E129*1)</f>
        <v>0</v>
      </c>
      <c r="F132" s="15">
        <f t="shared" si="35"/>
        <v>0</v>
      </c>
      <c r="G132" s="15">
        <f>SUM(G129*1)</f>
        <v>44</v>
      </c>
      <c r="H132" s="49">
        <f t="shared" si="32"/>
        <v>44</v>
      </c>
      <c r="I132" s="229"/>
      <c r="J132" s="85">
        <f t="shared" si="33"/>
        <v>0</v>
      </c>
    </row>
    <row r="133" spans="1:45" ht="24.95" customHeight="1" x14ac:dyDescent="0.2">
      <c r="A133" s="14" t="s">
        <v>40</v>
      </c>
      <c r="B133" s="301" t="s">
        <v>41</v>
      </c>
      <c r="C133" s="301"/>
      <c r="D133" s="14" t="s">
        <v>21</v>
      </c>
      <c r="E133" s="59">
        <f t="shared" ref="E133:F133" si="36">SUM(E134*0.001)</f>
        <v>0</v>
      </c>
      <c r="F133" s="59">
        <f t="shared" si="36"/>
        <v>0</v>
      </c>
      <c r="G133" s="59">
        <f>SUM(G134*0.001)</f>
        <v>4.4000000000000002E-4</v>
      </c>
      <c r="H133" s="200">
        <f t="shared" si="32"/>
        <v>4.4000000000000002E-4</v>
      </c>
      <c r="I133" s="228"/>
      <c r="J133" s="85">
        <f t="shared" si="33"/>
        <v>0</v>
      </c>
    </row>
    <row r="134" spans="1:45" ht="24.95" customHeight="1" x14ac:dyDescent="0.2">
      <c r="A134" s="15" t="s">
        <v>26</v>
      </c>
      <c r="B134" s="316" t="s">
        <v>143</v>
      </c>
      <c r="C134" s="248"/>
      <c r="D134" s="15" t="s">
        <v>15</v>
      </c>
      <c r="E134" s="28">
        <f t="shared" ref="E134:F134" si="37">SUM(E129*0.01)</f>
        <v>0</v>
      </c>
      <c r="F134" s="28">
        <f t="shared" si="37"/>
        <v>0</v>
      </c>
      <c r="G134" s="28">
        <f>SUM(G129*0.01)</f>
        <v>0.44</v>
      </c>
      <c r="H134" s="28">
        <f t="shared" si="32"/>
        <v>0.44</v>
      </c>
      <c r="I134" s="227"/>
      <c r="J134" s="85">
        <f t="shared" si="33"/>
        <v>0</v>
      </c>
    </row>
    <row r="135" spans="1:45" ht="24.95" customHeight="1" x14ac:dyDescent="0.2">
      <c r="A135" s="14" t="s">
        <v>34</v>
      </c>
      <c r="B135" s="258" t="s">
        <v>22</v>
      </c>
      <c r="C135" s="258"/>
      <c r="D135" s="15" t="s">
        <v>11</v>
      </c>
      <c r="E135" s="28">
        <v>0</v>
      </c>
      <c r="F135" s="28">
        <v>0</v>
      </c>
      <c r="G135" s="28">
        <f>SUM(G136)</f>
        <v>10.5</v>
      </c>
      <c r="H135" s="28">
        <f t="shared" si="32"/>
        <v>10.5</v>
      </c>
      <c r="I135" s="227"/>
      <c r="J135" s="85">
        <f t="shared" si="33"/>
        <v>0</v>
      </c>
    </row>
    <row r="136" spans="1:45" ht="24.95" customHeight="1" x14ac:dyDescent="0.2">
      <c r="A136" s="14" t="s">
        <v>26</v>
      </c>
      <c r="B136" s="258" t="s">
        <v>60</v>
      </c>
      <c r="C136" s="258"/>
      <c r="D136" s="15" t="s">
        <v>11</v>
      </c>
      <c r="E136" s="28">
        <v>0</v>
      </c>
      <c r="F136" s="28">
        <v>0</v>
      </c>
      <c r="G136" s="28">
        <f>SUM(G137*1.05)</f>
        <v>10.5</v>
      </c>
      <c r="H136" s="28">
        <f t="shared" si="32"/>
        <v>10.5</v>
      </c>
      <c r="I136" s="227"/>
      <c r="J136" s="85">
        <f t="shared" si="33"/>
        <v>0</v>
      </c>
    </row>
    <row r="137" spans="1:45" ht="24.95" customHeight="1" x14ac:dyDescent="0.2">
      <c r="A137" s="15" t="s">
        <v>27</v>
      </c>
      <c r="B137" s="258" t="s">
        <v>23</v>
      </c>
      <c r="C137" s="258"/>
      <c r="D137" s="15" t="s">
        <v>11</v>
      </c>
      <c r="E137" s="28">
        <v>0</v>
      </c>
      <c r="F137" s="28">
        <v>0</v>
      </c>
      <c r="G137" s="28">
        <v>10</v>
      </c>
      <c r="H137" s="28">
        <f t="shared" si="32"/>
        <v>10</v>
      </c>
      <c r="I137" s="227"/>
      <c r="J137" s="85">
        <f t="shared" si="33"/>
        <v>0</v>
      </c>
    </row>
    <row r="138" spans="1:45" ht="24.95" customHeight="1" x14ac:dyDescent="0.2">
      <c r="A138" s="15" t="s">
        <v>26</v>
      </c>
      <c r="B138" s="292" t="s">
        <v>150</v>
      </c>
      <c r="C138" s="258"/>
      <c r="D138" s="15" t="s">
        <v>12</v>
      </c>
      <c r="E138" s="54">
        <v>0</v>
      </c>
      <c r="F138" s="54">
        <v>0</v>
      </c>
      <c r="G138" s="54">
        <f>SUM(G137*0.1)</f>
        <v>1</v>
      </c>
      <c r="H138" s="54">
        <f t="shared" si="32"/>
        <v>1</v>
      </c>
      <c r="I138" s="227"/>
      <c r="J138" s="85">
        <f t="shared" si="33"/>
        <v>0</v>
      </c>
    </row>
    <row r="139" spans="1:45" s="108" customFormat="1" ht="24.95" customHeight="1" x14ac:dyDescent="0.2">
      <c r="A139" s="109" t="s">
        <v>226</v>
      </c>
      <c r="B139" s="110" t="s">
        <v>225</v>
      </c>
      <c r="C139" s="66"/>
      <c r="D139" s="107" t="s">
        <v>11</v>
      </c>
      <c r="E139" s="68">
        <f t="shared" ref="E139:F139" si="38">E118</f>
        <v>0.22160000000000002</v>
      </c>
      <c r="F139" s="68">
        <f t="shared" si="38"/>
        <v>8.72E-2</v>
      </c>
      <c r="G139" s="68">
        <f>G118</f>
        <v>0.10400000000000001</v>
      </c>
      <c r="H139" s="68">
        <f t="shared" ref="H139:H140" si="39">SUM(G139:G139)</f>
        <v>0.10400000000000001</v>
      </c>
      <c r="I139" s="227"/>
      <c r="J139" s="196">
        <f t="shared" ref="J139:J140" si="40">H139*I139</f>
        <v>0</v>
      </c>
      <c r="K139" s="176"/>
      <c r="L139" s="176"/>
      <c r="M139" s="176"/>
      <c r="N139" s="176"/>
      <c r="O139" s="176"/>
      <c r="P139" s="176"/>
      <c r="Q139" s="176"/>
      <c r="R139" s="176"/>
      <c r="S139" s="176"/>
      <c r="T139" s="176"/>
      <c r="U139" s="176"/>
      <c r="V139" s="176"/>
      <c r="W139" s="176"/>
      <c r="X139" s="176"/>
      <c r="Y139" s="176"/>
      <c r="Z139" s="176"/>
      <c r="AA139" s="176"/>
      <c r="AB139" s="176"/>
      <c r="AC139" s="176"/>
      <c r="AD139" s="176"/>
      <c r="AE139" s="176"/>
      <c r="AF139" s="176"/>
      <c r="AG139" s="176"/>
      <c r="AH139" s="176"/>
      <c r="AI139" s="176"/>
      <c r="AJ139" s="176"/>
      <c r="AK139" s="176"/>
      <c r="AL139" s="176"/>
      <c r="AM139" s="176"/>
      <c r="AN139" s="176"/>
      <c r="AO139" s="176"/>
      <c r="AP139" s="176"/>
      <c r="AQ139" s="176"/>
      <c r="AR139" s="176"/>
      <c r="AS139" s="176"/>
    </row>
    <row r="140" spans="1:45" s="108" customFormat="1" ht="24.95" customHeight="1" x14ac:dyDescent="0.2">
      <c r="A140" s="107" t="s">
        <v>236</v>
      </c>
      <c r="B140" s="246" t="s">
        <v>235</v>
      </c>
      <c r="C140" s="246"/>
      <c r="D140" s="107" t="s">
        <v>21</v>
      </c>
      <c r="E140" s="68">
        <f t="shared" ref="E140:F140" si="41">(E138*0.3)+E131+E133</f>
        <v>0</v>
      </c>
      <c r="F140" s="68">
        <f t="shared" si="41"/>
        <v>0</v>
      </c>
      <c r="G140" s="201">
        <f>(G138*0.3)+G131+G133</f>
        <v>0.30087999999999998</v>
      </c>
      <c r="H140" s="201">
        <f t="shared" si="39"/>
        <v>0.30087999999999998</v>
      </c>
      <c r="I140" s="227"/>
      <c r="J140" s="196">
        <f t="shared" si="40"/>
        <v>0</v>
      </c>
      <c r="K140" s="176"/>
      <c r="L140" s="176"/>
      <c r="M140" s="176"/>
      <c r="N140" s="176"/>
      <c r="O140" s="176"/>
      <c r="P140" s="176"/>
      <c r="Q140" s="176"/>
      <c r="R140" s="176"/>
      <c r="S140" s="176"/>
      <c r="T140" s="176"/>
      <c r="U140" s="176"/>
      <c r="V140" s="176"/>
      <c r="W140" s="176"/>
      <c r="X140" s="176"/>
      <c r="Y140" s="176"/>
      <c r="Z140" s="176"/>
      <c r="AA140" s="176"/>
      <c r="AB140" s="176"/>
      <c r="AC140" s="176"/>
      <c r="AD140" s="176"/>
      <c r="AE140" s="176"/>
      <c r="AF140" s="176"/>
      <c r="AG140" s="176"/>
      <c r="AH140" s="176"/>
      <c r="AI140" s="176"/>
      <c r="AJ140" s="176"/>
      <c r="AK140" s="176"/>
      <c r="AL140" s="176"/>
      <c r="AM140" s="176"/>
      <c r="AN140" s="176"/>
      <c r="AO140" s="176"/>
      <c r="AP140" s="176"/>
      <c r="AQ140" s="176"/>
      <c r="AR140" s="176"/>
      <c r="AS140" s="176"/>
    </row>
    <row r="141" spans="1:45" ht="24.95" customHeight="1" x14ac:dyDescent="0.2">
      <c r="A141" s="15"/>
      <c r="B141" s="296" t="s">
        <v>54</v>
      </c>
      <c r="C141" s="296"/>
      <c r="D141" s="81"/>
      <c r="E141" s="81"/>
      <c r="F141" s="81"/>
      <c r="G141" s="81"/>
      <c r="H141" s="197"/>
      <c r="I141" s="198"/>
      <c r="J141" s="199">
        <f>SUM(J127:J140)</f>
        <v>0</v>
      </c>
    </row>
    <row r="142" spans="1:45" s="48" customFormat="1" ht="24.95" customHeight="1" x14ac:dyDescent="0.25">
      <c r="A142" s="241"/>
      <c r="B142" s="242" t="s">
        <v>8</v>
      </c>
      <c r="C142" s="242"/>
      <c r="D142" s="242" t="s">
        <v>186</v>
      </c>
      <c r="E142" s="243" t="s">
        <v>100</v>
      </c>
      <c r="F142" s="243"/>
      <c r="G142" s="243"/>
      <c r="H142" s="243"/>
      <c r="I142" s="244" t="s">
        <v>4</v>
      </c>
      <c r="J142" s="245" t="s">
        <v>101</v>
      </c>
      <c r="K142" s="176"/>
      <c r="L142" s="176"/>
      <c r="M142" s="176"/>
      <c r="N142" s="176"/>
      <c r="O142" s="176"/>
      <c r="P142" s="176"/>
      <c r="Q142" s="176"/>
      <c r="R142" s="176"/>
      <c r="S142" s="176"/>
      <c r="T142" s="176"/>
      <c r="U142" s="176"/>
      <c r="V142" s="176"/>
      <c r="W142" s="176"/>
      <c r="X142" s="176"/>
      <c r="Y142" s="176"/>
      <c r="Z142" s="176"/>
      <c r="AA142" s="176"/>
      <c r="AB142" s="176"/>
      <c r="AC142" s="176"/>
      <c r="AD142" s="176"/>
      <c r="AE142" s="176"/>
      <c r="AF142" s="176"/>
      <c r="AG142" s="176"/>
      <c r="AH142" s="176"/>
      <c r="AI142" s="176"/>
      <c r="AJ142" s="176"/>
      <c r="AK142" s="176"/>
      <c r="AL142" s="176"/>
      <c r="AM142" s="176"/>
      <c r="AN142" s="176"/>
      <c r="AO142" s="176"/>
      <c r="AP142" s="176"/>
      <c r="AQ142" s="176"/>
      <c r="AR142" s="176"/>
      <c r="AS142" s="176"/>
    </row>
    <row r="143" spans="1:45" s="7" customFormat="1" ht="24.95" customHeight="1" x14ac:dyDescent="0.25">
      <c r="A143" s="241"/>
      <c r="B143" s="242"/>
      <c r="C143" s="242"/>
      <c r="D143" s="242"/>
      <c r="E143" s="138" t="s">
        <v>244</v>
      </c>
      <c r="F143" s="138" t="s">
        <v>245</v>
      </c>
      <c r="G143" s="138" t="s">
        <v>246</v>
      </c>
      <c r="H143" s="177" t="s">
        <v>9</v>
      </c>
      <c r="I143" s="244"/>
      <c r="J143" s="245"/>
      <c r="K143" s="176"/>
      <c r="L143" s="176"/>
      <c r="M143" s="176"/>
      <c r="N143" s="176"/>
      <c r="O143" s="176"/>
      <c r="P143" s="176"/>
      <c r="Q143" s="176"/>
      <c r="R143" s="176"/>
      <c r="S143" s="176"/>
      <c r="T143" s="176"/>
      <c r="U143" s="176"/>
      <c r="V143" s="176"/>
      <c r="W143" s="176"/>
      <c r="X143" s="176"/>
      <c r="Y143" s="176"/>
      <c r="Z143" s="176"/>
      <c r="AA143" s="176"/>
      <c r="AB143" s="176"/>
      <c r="AC143" s="176"/>
      <c r="AD143" s="176"/>
      <c r="AE143" s="176"/>
      <c r="AF143" s="176"/>
      <c r="AG143" s="176"/>
      <c r="AH143" s="176"/>
      <c r="AI143" s="176"/>
      <c r="AJ143" s="176"/>
      <c r="AK143" s="176"/>
      <c r="AL143" s="176"/>
      <c r="AM143" s="176"/>
      <c r="AN143" s="176"/>
      <c r="AO143" s="176"/>
      <c r="AP143" s="176"/>
      <c r="AQ143" s="176"/>
      <c r="AR143" s="176"/>
      <c r="AS143" s="176"/>
    </row>
    <row r="144" spans="1:45" ht="24.95" customHeight="1" x14ac:dyDescent="0.2">
      <c r="A144" s="14"/>
      <c r="B144" s="317" t="s">
        <v>55</v>
      </c>
      <c r="C144" s="317"/>
      <c r="D144" s="317"/>
      <c r="E144" s="317"/>
      <c r="F144" s="317"/>
      <c r="G144" s="317"/>
      <c r="H144" s="317"/>
      <c r="I144" s="317"/>
      <c r="J144" s="317"/>
    </row>
    <row r="145" spans="1:45" ht="24.95" customHeight="1" x14ac:dyDescent="0.2">
      <c r="A145" s="52" t="s">
        <v>25</v>
      </c>
      <c r="B145" s="298" t="s">
        <v>156</v>
      </c>
      <c r="C145" s="298"/>
      <c r="D145" s="58" t="s">
        <v>10</v>
      </c>
      <c r="E145" s="49">
        <f>E23+E30</f>
        <v>1199</v>
      </c>
      <c r="F145" s="49">
        <f>F23+F30</f>
        <v>385</v>
      </c>
      <c r="G145" s="49">
        <f>G23+G30</f>
        <v>137</v>
      </c>
      <c r="H145" s="28">
        <f>SUM(E145:G145)</f>
        <v>1721</v>
      </c>
      <c r="I145" s="227"/>
      <c r="J145" s="85">
        <f>I145*H145</f>
        <v>0</v>
      </c>
    </row>
    <row r="146" spans="1:45" ht="24.95" customHeight="1" x14ac:dyDescent="0.2">
      <c r="A146" s="14" t="s">
        <v>129</v>
      </c>
      <c r="B146" s="249" t="s">
        <v>68</v>
      </c>
      <c r="C146" s="249"/>
      <c r="D146" s="15" t="s">
        <v>10</v>
      </c>
      <c r="E146" s="15">
        <f>SUM(E16:E17)</f>
        <v>8</v>
      </c>
      <c r="F146" s="15">
        <f>SUM(F19:F22)</f>
        <v>304</v>
      </c>
      <c r="G146" s="15">
        <f>SUM(G16:G22)</f>
        <v>67</v>
      </c>
      <c r="H146" s="28">
        <f t="shared" ref="H146:H170" si="42">SUM(E146:G146)</f>
        <v>379</v>
      </c>
      <c r="I146" s="227"/>
      <c r="J146" s="85">
        <f t="shared" ref="J146:J167" si="43">I146*H146</f>
        <v>0</v>
      </c>
    </row>
    <row r="147" spans="1:45" ht="24.95" customHeight="1" x14ac:dyDescent="0.2">
      <c r="A147" s="14" t="s">
        <v>43</v>
      </c>
      <c r="B147" s="249" t="s">
        <v>44</v>
      </c>
      <c r="C147" s="249"/>
      <c r="D147" s="15" t="s">
        <v>10</v>
      </c>
      <c r="E147" s="15">
        <v>0</v>
      </c>
      <c r="F147" s="15">
        <f>SUM(F25:F29)</f>
        <v>81</v>
      </c>
      <c r="G147" s="15">
        <f>SUM(G25:G29)</f>
        <v>70</v>
      </c>
      <c r="H147" s="28">
        <f t="shared" si="42"/>
        <v>151</v>
      </c>
      <c r="I147" s="227"/>
      <c r="J147" s="85">
        <f t="shared" si="43"/>
        <v>0</v>
      </c>
    </row>
    <row r="148" spans="1:45" s="40" customFormat="1" ht="24.95" customHeight="1" x14ac:dyDescent="0.2">
      <c r="A148" s="25" t="s">
        <v>218</v>
      </c>
      <c r="B148" s="301" t="s">
        <v>71</v>
      </c>
      <c r="C148" s="301"/>
      <c r="D148" s="14" t="s">
        <v>10</v>
      </c>
      <c r="E148" s="15">
        <f>SUM(E22)</f>
        <v>1191</v>
      </c>
      <c r="F148" s="15">
        <v>0</v>
      </c>
      <c r="G148" s="15">
        <v>0</v>
      </c>
      <c r="H148" s="28">
        <f t="shared" si="42"/>
        <v>1191</v>
      </c>
      <c r="I148" s="229"/>
      <c r="J148" s="85">
        <f t="shared" si="43"/>
        <v>0</v>
      </c>
      <c r="K148" s="176"/>
      <c r="L148" s="176"/>
      <c r="M148" s="176"/>
      <c r="N148" s="176"/>
      <c r="O148" s="176"/>
      <c r="P148" s="176"/>
      <c r="Q148" s="176"/>
      <c r="R148" s="176"/>
      <c r="S148" s="176"/>
      <c r="T148" s="176"/>
      <c r="U148" s="176"/>
      <c r="V148" s="176"/>
      <c r="W148" s="176"/>
      <c r="X148" s="176"/>
      <c r="Y148" s="176"/>
      <c r="Z148" s="176"/>
      <c r="AA148" s="176"/>
      <c r="AB148" s="176"/>
      <c r="AC148" s="176"/>
      <c r="AD148" s="176"/>
      <c r="AE148" s="176"/>
      <c r="AF148" s="176"/>
      <c r="AG148" s="176"/>
      <c r="AH148" s="176"/>
      <c r="AI148" s="176"/>
      <c r="AJ148" s="176"/>
      <c r="AK148" s="176"/>
      <c r="AL148" s="176"/>
      <c r="AM148" s="176"/>
      <c r="AN148" s="176"/>
      <c r="AO148" s="176"/>
      <c r="AP148" s="176"/>
      <c r="AQ148" s="176"/>
      <c r="AR148" s="176"/>
      <c r="AS148" s="176"/>
    </row>
    <row r="149" spans="1:45" ht="24.95" customHeight="1" x14ac:dyDescent="0.2">
      <c r="A149" s="14" t="s">
        <v>69</v>
      </c>
      <c r="B149" s="301" t="s">
        <v>70</v>
      </c>
      <c r="C149" s="301"/>
      <c r="D149" s="14" t="s">
        <v>10</v>
      </c>
      <c r="E149" s="15">
        <f t="shared" ref="E149:F149" si="44">SUM(E146)</f>
        <v>8</v>
      </c>
      <c r="F149" s="15">
        <f t="shared" si="44"/>
        <v>304</v>
      </c>
      <c r="G149" s="15">
        <f>SUM(G146)</f>
        <v>67</v>
      </c>
      <c r="H149" s="28">
        <f t="shared" si="42"/>
        <v>379</v>
      </c>
      <c r="I149" s="229"/>
      <c r="J149" s="85">
        <f t="shared" si="43"/>
        <v>0</v>
      </c>
    </row>
    <row r="150" spans="1:45" ht="24.95" customHeight="1" x14ac:dyDescent="0.2">
      <c r="A150" s="14" t="s">
        <v>59</v>
      </c>
      <c r="B150" s="301" t="s">
        <v>58</v>
      </c>
      <c r="C150" s="301"/>
      <c r="D150" s="14" t="s">
        <v>10</v>
      </c>
      <c r="E150" s="14">
        <f t="shared" ref="E150:F150" si="45">SUM(E147)</f>
        <v>0</v>
      </c>
      <c r="F150" s="14">
        <f t="shared" si="45"/>
        <v>81</v>
      </c>
      <c r="G150" s="14">
        <f>SUM(G147)</f>
        <v>70</v>
      </c>
      <c r="H150" s="28">
        <f t="shared" si="42"/>
        <v>151</v>
      </c>
      <c r="I150" s="229"/>
      <c r="J150" s="85">
        <f t="shared" si="43"/>
        <v>0</v>
      </c>
    </row>
    <row r="151" spans="1:45" ht="24.95" customHeight="1" x14ac:dyDescent="0.2">
      <c r="A151" s="14" t="s">
        <v>72</v>
      </c>
      <c r="B151" s="301" t="s">
        <v>73</v>
      </c>
      <c r="C151" s="301"/>
      <c r="D151" s="14" t="s">
        <v>10</v>
      </c>
      <c r="E151" s="14">
        <f t="shared" ref="E151:F151" si="46">SUM(E148)</f>
        <v>1191</v>
      </c>
      <c r="F151" s="14">
        <f t="shared" si="46"/>
        <v>0</v>
      </c>
      <c r="G151" s="14">
        <f>SUM(G148)</f>
        <v>0</v>
      </c>
      <c r="H151" s="28">
        <f t="shared" si="42"/>
        <v>1191</v>
      </c>
      <c r="I151" s="229"/>
      <c r="J151" s="85">
        <f t="shared" si="43"/>
        <v>0</v>
      </c>
    </row>
    <row r="152" spans="1:45" ht="24.95" customHeight="1" x14ac:dyDescent="0.2">
      <c r="A152" s="46" t="s">
        <v>217</v>
      </c>
      <c r="B152" s="255" t="s">
        <v>307</v>
      </c>
      <c r="C152" s="255"/>
      <c r="D152" s="82" t="s">
        <v>12</v>
      </c>
      <c r="E152" s="49">
        <f>E164*0.02</f>
        <v>5.54</v>
      </c>
      <c r="F152" s="49">
        <f>F166*0.02</f>
        <v>1.7</v>
      </c>
      <c r="G152" s="49">
        <f>G166*0.02</f>
        <v>2.1800000000000002</v>
      </c>
      <c r="H152" s="28">
        <f t="shared" si="42"/>
        <v>9.42</v>
      </c>
      <c r="I152" s="227"/>
      <c r="J152" s="85">
        <f t="shared" si="43"/>
        <v>0</v>
      </c>
    </row>
    <row r="153" spans="1:45" ht="24.95" customHeight="1" x14ac:dyDescent="0.2">
      <c r="A153" s="15" t="s">
        <v>26</v>
      </c>
      <c r="B153" s="299" t="s">
        <v>95</v>
      </c>
      <c r="C153" s="299"/>
      <c r="D153" s="31" t="s">
        <v>12</v>
      </c>
      <c r="E153" s="37">
        <f t="shared" ref="E153:F153" si="47">SUM(E146*0.01+E148*0.01)</f>
        <v>11.99</v>
      </c>
      <c r="F153" s="37">
        <f t="shared" si="47"/>
        <v>3.04</v>
      </c>
      <c r="G153" s="37">
        <f>SUM(G146*0.01+G148*0.01)</f>
        <v>0.67</v>
      </c>
      <c r="H153" s="28">
        <f t="shared" si="42"/>
        <v>15.700000000000001</v>
      </c>
      <c r="I153" s="230"/>
      <c r="J153" s="85">
        <f t="shared" si="43"/>
        <v>0</v>
      </c>
    </row>
    <row r="154" spans="1:45" ht="24.95" customHeight="1" x14ac:dyDescent="0.2">
      <c r="A154" s="14" t="s">
        <v>26</v>
      </c>
      <c r="B154" s="343" t="s">
        <v>96</v>
      </c>
      <c r="C154" s="343"/>
      <c r="D154" s="31" t="s">
        <v>12</v>
      </c>
      <c r="E154" s="37">
        <f>SUM(E147*0.025)</f>
        <v>0</v>
      </c>
      <c r="F154" s="37">
        <f t="shared" ref="F154:G154" si="48">SUM(F147*0.025)</f>
        <v>2.0249999999999999</v>
      </c>
      <c r="G154" s="37">
        <f t="shared" si="48"/>
        <v>1.75</v>
      </c>
      <c r="H154" s="28">
        <f t="shared" si="42"/>
        <v>3.7749999999999999</v>
      </c>
      <c r="I154" s="230"/>
      <c r="J154" s="85">
        <f t="shared" si="43"/>
        <v>0</v>
      </c>
    </row>
    <row r="155" spans="1:45" ht="24.95" customHeight="1" x14ac:dyDescent="0.2">
      <c r="A155" s="15" t="s">
        <v>40</v>
      </c>
      <c r="B155" s="301" t="s">
        <v>137</v>
      </c>
      <c r="C155" s="301"/>
      <c r="D155" s="14" t="s">
        <v>21</v>
      </c>
      <c r="E155" s="59">
        <f>SUM(E156)*0.00001</f>
        <v>1.1990000000000001E-2</v>
      </c>
      <c r="F155" s="59">
        <f t="shared" ref="F155:G155" si="49">SUM(F156)*0.00001</f>
        <v>3.0400000000000002E-3</v>
      </c>
      <c r="G155" s="59">
        <f t="shared" si="49"/>
        <v>6.7000000000000002E-4</v>
      </c>
      <c r="H155" s="42">
        <f t="shared" si="42"/>
        <v>1.5700000000000002E-2</v>
      </c>
      <c r="I155" s="228"/>
      <c r="J155" s="85">
        <f t="shared" si="43"/>
        <v>0</v>
      </c>
    </row>
    <row r="156" spans="1:45" ht="24.95" customHeight="1" x14ac:dyDescent="0.2">
      <c r="A156" s="15" t="s">
        <v>26</v>
      </c>
      <c r="B156" s="334" t="s">
        <v>140</v>
      </c>
      <c r="C156" s="334"/>
      <c r="D156" s="14" t="s">
        <v>10</v>
      </c>
      <c r="E156" s="14">
        <f t="shared" ref="E156:F156" si="50">SUM(E146*1+E148*1)</f>
        <v>1199</v>
      </c>
      <c r="F156" s="14">
        <f t="shared" si="50"/>
        <v>304</v>
      </c>
      <c r="G156" s="14">
        <f>SUM(G146*1+G148*1)</f>
        <v>67</v>
      </c>
      <c r="H156" s="28">
        <f t="shared" si="42"/>
        <v>1570</v>
      </c>
      <c r="I156" s="229"/>
      <c r="J156" s="85">
        <f t="shared" si="43"/>
        <v>0</v>
      </c>
    </row>
    <row r="157" spans="1:45" ht="24.95" customHeight="1" x14ac:dyDescent="0.2">
      <c r="A157" s="15" t="s">
        <v>26</v>
      </c>
      <c r="B157" s="334" t="s">
        <v>141</v>
      </c>
      <c r="C157" s="334"/>
      <c r="D157" s="14" t="s">
        <v>10</v>
      </c>
      <c r="E157" s="14">
        <f>SUM(E147*3)</f>
        <v>0</v>
      </c>
      <c r="F157" s="14">
        <f t="shared" ref="F157:G157" si="51">SUM(F147*3)</f>
        <v>243</v>
      </c>
      <c r="G157" s="14">
        <f t="shared" si="51"/>
        <v>210</v>
      </c>
      <c r="H157" s="28">
        <f t="shared" si="42"/>
        <v>453</v>
      </c>
      <c r="I157" s="229"/>
      <c r="J157" s="85">
        <f t="shared" si="43"/>
        <v>0</v>
      </c>
    </row>
    <row r="158" spans="1:45" ht="24.95" customHeight="1" x14ac:dyDescent="0.2">
      <c r="A158" s="14" t="s">
        <v>40</v>
      </c>
      <c r="B158" s="301" t="s">
        <v>138</v>
      </c>
      <c r="C158" s="301"/>
      <c r="D158" s="14" t="s">
        <v>21</v>
      </c>
      <c r="E158" s="59">
        <f>SUM(E159)*0.001</f>
        <v>1.1990000000000001E-2</v>
      </c>
      <c r="F158" s="59">
        <f t="shared" ref="F158:G158" si="52">SUM(F159)*0.001</f>
        <v>3.0400000000000002E-3</v>
      </c>
      <c r="G158" s="59">
        <f t="shared" si="52"/>
        <v>6.7000000000000002E-4</v>
      </c>
      <c r="H158" s="42">
        <f t="shared" si="42"/>
        <v>1.5700000000000002E-2</v>
      </c>
      <c r="I158" s="228"/>
      <c r="J158" s="85">
        <f t="shared" si="43"/>
        <v>0</v>
      </c>
    </row>
    <row r="159" spans="1:45" ht="24.95" customHeight="1" x14ac:dyDescent="0.2">
      <c r="A159" s="14" t="s">
        <v>26</v>
      </c>
      <c r="B159" s="334" t="s">
        <v>144</v>
      </c>
      <c r="C159" s="334"/>
      <c r="D159" s="14" t="s">
        <v>15</v>
      </c>
      <c r="E159" s="202">
        <f t="shared" ref="E159:F159" si="53">SUM(E146*10/1000+E148*10/1000)</f>
        <v>11.99</v>
      </c>
      <c r="F159" s="202">
        <f t="shared" si="53"/>
        <v>3.04</v>
      </c>
      <c r="G159" s="202">
        <f>SUM(G146*10/1000+G148*10/1000)</f>
        <v>0.67</v>
      </c>
      <c r="H159" s="28">
        <f t="shared" si="42"/>
        <v>15.700000000000001</v>
      </c>
      <c r="I159" s="229"/>
      <c r="J159" s="85">
        <f t="shared" si="43"/>
        <v>0</v>
      </c>
    </row>
    <row r="160" spans="1:45" ht="24.95" customHeight="1" x14ac:dyDescent="0.2">
      <c r="A160" s="14" t="s">
        <v>26</v>
      </c>
      <c r="B160" s="334" t="s">
        <v>145</v>
      </c>
      <c r="C160" s="334"/>
      <c r="D160" s="14" t="s">
        <v>15</v>
      </c>
      <c r="E160" s="202">
        <f>SUM(E147*20/1000)</f>
        <v>0</v>
      </c>
      <c r="F160" s="202">
        <f t="shared" ref="F160:G160" si="54">SUM(F147*20/1000)</f>
        <v>1.62</v>
      </c>
      <c r="G160" s="202">
        <f t="shared" si="54"/>
        <v>1.4</v>
      </c>
      <c r="H160" s="28">
        <f t="shared" si="42"/>
        <v>3.02</v>
      </c>
      <c r="I160" s="229"/>
      <c r="J160" s="85">
        <f t="shared" si="43"/>
        <v>0</v>
      </c>
    </row>
    <row r="161" spans="1:45" ht="24.95" customHeight="1" x14ac:dyDescent="0.2">
      <c r="A161" s="14" t="s">
        <v>34</v>
      </c>
      <c r="B161" s="302" t="s">
        <v>22</v>
      </c>
      <c r="C161" s="302"/>
      <c r="D161" s="14" t="s">
        <v>11</v>
      </c>
      <c r="E161" s="28">
        <f t="shared" ref="E161:F161" si="55">SUM(E166*1.05)</f>
        <v>0</v>
      </c>
      <c r="F161" s="28">
        <f t="shared" si="55"/>
        <v>89.25</v>
      </c>
      <c r="G161" s="28">
        <f>SUM(G166*1.05)</f>
        <v>114.45</v>
      </c>
      <c r="H161" s="28">
        <f t="shared" si="42"/>
        <v>203.7</v>
      </c>
      <c r="I161" s="229"/>
      <c r="J161" s="85">
        <f t="shared" si="43"/>
        <v>0</v>
      </c>
    </row>
    <row r="162" spans="1:45" ht="24.95" customHeight="1" x14ac:dyDescent="0.2">
      <c r="A162" s="14" t="s">
        <v>74</v>
      </c>
      <c r="B162" s="302" t="s">
        <v>75</v>
      </c>
      <c r="C162" s="302"/>
      <c r="D162" s="14" t="s">
        <v>11</v>
      </c>
      <c r="E162" s="28">
        <f>SUM(E164*1.05)</f>
        <v>290.85000000000002</v>
      </c>
      <c r="F162" s="28">
        <f t="shared" ref="F162" si="56">SUM(F164*1.2*1.05)</f>
        <v>0</v>
      </c>
      <c r="G162" s="28">
        <f>SUM(G164*1.2*1.05)</f>
        <v>0</v>
      </c>
      <c r="H162" s="28">
        <f t="shared" si="42"/>
        <v>290.85000000000002</v>
      </c>
      <c r="I162" s="229"/>
      <c r="J162" s="85">
        <f t="shared" si="43"/>
        <v>0</v>
      </c>
    </row>
    <row r="163" spans="1:45" ht="24.95" customHeight="1" x14ac:dyDescent="0.2">
      <c r="A163" s="14" t="s">
        <v>26</v>
      </c>
      <c r="B163" s="303" t="s">
        <v>159</v>
      </c>
      <c r="C163" s="302"/>
      <c r="D163" s="14" t="s">
        <v>11</v>
      </c>
      <c r="E163" s="28">
        <f>E162</f>
        <v>290.85000000000002</v>
      </c>
      <c r="F163" s="202">
        <f t="shared" ref="F163" si="57">SUM(F161:F162)</f>
        <v>89.25</v>
      </c>
      <c r="G163" s="202">
        <f>SUM(G161:G162)</f>
        <v>114.45</v>
      </c>
      <c r="H163" s="28">
        <f t="shared" si="42"/>
        <v>494.55</v>
      </c>
      <c r="I163" s="229"/>
      <c r="J163" s="85">
        <f t="shared" si="43"/>
        <v>0</v>
      </c>
    </row>
    <row r="164" spans="1:45" ht="24.95" customHeight="1" x14ac:dyDescent="0.2">
      <c r="A164" s="14" t="s">
        <v>76</v>
      </c>
      <c r="B164" s="300" t="s">
        <v>77</v>
      </c>
      <c r="C164" s="300"/>
      <c r="D164" s="14" t="s">
        <v>11</v>
      </c>
      <c r="E164" s="28">
        <v>277</v>
      </c>
      <c r="F164" s="28">
        <f t="shared" ref="F164" si="58">SUM(0*1.2*1.05)</f>
        <v>0</v>
      </c>
      <c r="G164" s="28">
        <f>SUM(0*1.2*1.05)</f>
        <v>0</v>
      </c>
      <c r="H164" s="28">
        <f t="shared" si="42"/>
        <v>277</v>
      </c>
      <c r="I164" s="229"/>
      <c r="J164" s="85">
        <f t="shared" si="43"/>
        <v>0</v>
      </c>
    </row>
    <row r="165" spans="1:45" ht="24.95" customHeight="1" x14ac:dyDescent="0.2">
      <c r="A165" s="14" t="s">
        <v>26</v>
      </c>
      <c r="B165" s="302" t="s">
        <v>98</v>
      </c>
      <c r="C165" s="302"/>
      <c r="D165" s="14" t="s">
        <v>11</v>
      </c>
      <c r="E165" s="28">
        <f>SUM(E164)*1.05</f>
        <v>290.85000000000002</v>
      </c>
      <c r="F165" s="28">
        <f t="shared" ref="F165" si="59">SUM(F164)</f>
        <v>0</v>
      </c>
      <c r="G165" s="28">
        <f>SUM(G164)</f>
        <v>0</v>
      </c>
      <c r="H165" s="28">
        <f t="shared" si="42"/>
        <v>290.85000000000002</v>
      </c>
      <c r="I165" s="229"/>
      <c r="J165" s="85">
        <f t="shared" si="43"/>
        <v>0</v>
      </c>
    </row>
    <row r="166" spans="1:45" ht="24.95" customHeight="1" x14ac:dyDescent="0.2">
      <c r="A166" s="15" t="s">
        <v>27</v>
      </c>
      <c r="B166" s="302" t="s">
        <v>23</v>
      </c>
      <c r="C166" s="302"/>
      <c r="D166" s="14" t="s">
        <v>11</v>
      </c>
      <c r="E166" s="28">
        <v>0</v>
      </c>
      <c r="F166" s="28">
        <v>85</v>
      </c>
      <c r="G166" s="28">
        <v>109</v>
      </c>
      <c r="H166" s="28">
        <f t="shared" si="42"/>
        <v>194</v>
      </c>
      <c r="I166" s="229"/>
      <c r="J166" s="85">
        <f t="shared" si="43"/>
        <v>0</v>
      </c>
    </row>
    <row r="167" spans="1:45" ht="24.95" customHeight="1" x14ac:dyDescent="0.2">
      <c r="A167" s="15" t="s">
        <v>26</v>
      </c>
      <c r="B167" s="302" t="s">
        <v>92</v>
      </c>
      <c r="C167" s="302"/>
      <c r="D167" s="14" t="s">
        <v>12</v>
      </c>
      <c r="E167" s="54">
        <f t="shared" ref="E167:F167" si="60">SUM(E166*0.1)</f>
        <v>0</v>
      </c>
      <c r="F167" s="54">
        <f t="shared" si="60"/>
        <v>8.5</v>
      </c>
      <c r="G167" s="54">
        <f>SUM(G166*0.1)</f>
        <v>10.9</v>
      </c>
      <c r="H167" s="28">
        <f t="shared" si="42"/>
        <v>19.399999999999999</v>
      </c>
      <c r="I167" s="229"/>
      <c r="J167" s="85">
        <f t="shared" si="43"/>
        <v>0</v>
      </c>
    </row>
    <row r="168" spans="1:45" s="108" customFormat="1" ht="24.95" customHeight="1" x14ac:dyDescent="0.2">
      <c r="A168" s="109" t="s">
        <v>226</v>
      </c>
      <c r="B168" s="110" t="s">
        <v>225</v>
      </c>
      <c r="C168" s="66"/>
      <c r="D168" s="107" t="s">
        <v>11</v>
      </c>
      <c r="E168" s="68">
        <v>0</v>
      </c>
      <c r="F168" s="68">
        <v>85</v>
      </c>
      <c r="G168" s="79">
        <f>G166</f>
        <v>109</v>
      </c>
      <c r="H168" s="28">
        <f t="shared" si="42"/>
        <v>194</v>
      </c>
      <c r="I168" s="227"/>
      <c r="J168" s="196">
        <f t="shared" ref="J168" si="61">H168*I168</f>
        <v>0</v>
      </c>
      <c r="K168" s="176"/>
      <c r="L168" s="176"/>
      <c r="M168" s="176"/>
      <c r="N168" s="176"/>
      <c r="O168" s="176"/>
      <c r="P168" s="176"/>
      <c r="Q168" s="176"/>
      <c r="R168" s="176"/>
      <c r="S168" s="176"/>
      <c r="T168" s="176"/>
      <c r="U168" s="176"/>
      <c r="V168" s="176"/>
      <c r="W168" s="176"/>
      <c r="X168" s="176"/>
      <c r="Y168" s="176"/>
      <c r="Z168" s="176"/>
      <c r="AA168" s="176"/>
      <c r="AB168" s="176"/>
      <c r="AC168" s="176"/>
      <c r="AD168" s="176"/>
      <c r="AE168" s="176"/>
      <c r="AF168" s="176"/>
      <c r="AG168" s="176"/>
      <c r="AH168" s="176"/>
      <c r="AI168" s="176"/>
      <c r="AJ168" s="176"/>
      <c r="AK168" s="176"/>
      <c r="AL168" s="176"/>
      <c r="AM168" s="176"/>
      <c r="AN168" s="176"/>
      <c r="AO168" s="176"/>
      <c r="AP168" s="176"/>
      <c r="AQ168" s="176"/>
      <c r="AR168" s="176"/>
      <c r="AS168" s="176"/>
    </row>
    <row r="169" spans="1:45" s="108" customFormat="1" ht="24.95" customHeight="1" x14ac:dyDescent="0.2">
      <c r="A169" s="109" t="s">
        <v>227</v>
      </c>
      <c r="B169" s="110" t="s">
        <v>228</v>
      </c>
      <c r="C169" s="66"/>
      <c r="D169" s="107" t="s">
        <v>11</v>
      </c>
      <c r="E169" s="79">
        <f>E164</f>
        <v>277</v>
      </c>
      <c r="F169" s="79">
        <f t="shared" ref="F169:G169" si="62">F164</f>
        <v>0</v>
      </c>
      <c r="G169" s="79">
        <f t="shared" si="62"/>
        <v>0</v>
      </c>
      <c r="H169" s="28">
        <f t="shared" si="42"/>
        <v>277</v>
      </c>
      <c r="I169" s="227"/>
      <c r="J169" s="196">
        <f t="shared" ref="J169:J170" si="63">H169*I169</f>
        <v>0</v>
      </c>
      <c r="K169" s="176"/>
      <c r="L169" s="176"/>
      <c r="M169" s="176"/>
      <c r="N169" s="176"/>
      <c r="O169" s="176"/>
      <c r="P169" s="176"/>
      <c r="Q169" s="176"/>
      <c r="R169" s="176"/>
      <c r="S169" s="176"/>
      <c r="T169" s="176"/>
      <c r="U169" s="176"/>
      <c r="V169" s="176"/>
      <c r="W169" s="176"/>
      <c r="X169" s="176"/>
      <c r="Y169" s="176"/>
      <c r="Z169" s="176"/>
      <c r="AA169" s="176"/>
      <c r="AB169" s="176"/>
      <c r="AC169" s="176"/>
      <c r="AD169" s="176"/>
      <c r="AE169" s="176"/>
      <c r="AF169" s="176"/>
      <c r="AG169" s="176"/>
      <c r="AH169" s="176"/>
      <c r="AI169" s="176"/>
      <c r="AJ169" s="176"/>
      <c r="AK169" s="176"/>
      <c r="AL169" s="176"/>
      <c r="AM169" s="176"/>
      <c r="AN169" s="176"/>
      <c r="AO169" s="176"/>
      <c r="AP169" s="176"/>
      <c r="AQ169" s="176"/>
      <c r="AR169" s="176"/>
      <c r="AS169" s="176"/>
    </row>
    <row r="170" spans="1:45" s="108" customFormat="1" ht="24.95" customHeight="1" x14ac:dyDescent="0.2">
      <c r="A170" s="107" t="s">
        <v>236</v>
      </c>
      <c r="B170" s="246" t="s">
        <v>235</v>
      </c>
      <c r="C170" s="246"/>
      <c r="D170" s="107" t="s">
        <v>21</v>
      </c>
      <c r="E170" s="201">
        <f t="shared" ref="E170:F170" si="64">(E167*0.3)+E155+E158+(0.8*E153)+(0.8*E154)</f>
        <v>9.6159800000000004</v>
      </c>
      <c r="F170" s="201">
        <f t="shared" si="64"/>
        <v>6.6080800000000002</v>
      </c>
      <c r="G170" s="201">
        <f>(G167*0.3)+G155+G158+(0.8*G153)+(0.8*G154)</f>
        <v>5.2073400000000003</v>
      </c>
      <c r="H170" s="28">
        <f t="shared" si="42"/>
        <v>21.431400000000004</v>
      </c>
      <c r="I170" s="227"/>
      <c r="J170" s="196">
        <f t="shared" si="63"/>
        <v>0</v>
      </c>
      <c r="K170" s="176"/>
      <c r="L170" s="176"/>
      <c r="M170" s="176"/>
      <c r="N170" s="176"/>
      <c r="O170" s="176"/>
      <c r="P170" s="176"/>
      <c r="Q170" s="176"/>
      <c r="R170" s="176"/>
      <c r="S170" s="176"/>
      <c r="T170" s="176"/>
      <c r="U170" s="176"/>
      <c r="V170" s="176"/>
      <c r="W170" s="176"/>
      <c r="X170" s="176"/>
      <c r="Y170" s="176"/>
      <c r="Z170" s="176"/>
      <c r="AA170" s="176"/>
      <c r="AB170" s="176"/>
      <c r="AC170" s="176"/>
      <c r="AD170" s="176"/>
      <c r="AE170" s="176"/>
      <c r="AF170" s="176"/>
      <c r="AG170" s="176"/>
      <c r="AH170" s="176"/>
      <c r="AI170" s="176"/>
      <c r="AJ170" s="176"/>
      <c r="AK170" s="176"/>
      <c r="AL170" s="176"/>
      <c r="AM170" s="176"/>
      <c r="AN170" s="176"/>
      <c r="AO170" s="176"/>
      <c r="AP170" s="176"/>
      <c r="AQ170" s="176"/>
      <c r="AR170" s="176"/>
      <c r="AS170" s="176"/>
    </row>
    <row r="171" spans="1:45" ht="24.95" customHeight="1" x14ac:dyDescent="0.2">
      <c r="A171" s="14"/>
      <c r="B171" s="333" t="s">
        <v>240</v>
      </c>
      <c r="C171" s="333"/>
      <c r="D171" s="81"/>
      <c r="E171" s="81"/>
      <c r="F171" s="81"/>
      <c r="G171" s="81"/>
      <c r="H171" s="197"/>
      <c r="I171" s="198"/>
      <c r="J171" s="199">
        <f>SUM(J145:J170)</f>
        <v>0</v>
      </c>
    </row>
    <row r="172" spans="1:45" s="48" customFormat="1" ht="24.95" customHeight="1" x14ac:dyDescent="0.25">
      <c r="A172" s="241"/>
      <c r="B172" s="242" t="s">
        <v>8</v>
      </c>
      <c r="C172" s="242"/>
      <c r="D172" s="242" t="s">
        <v>186</v>
      </c>
      <c r="E172" s="243" t="s">
        <v>100</v>
      </c>
      <c r="F172" s="243"/>
      <c r="G172" s="243"/>
      <c r="H172" s="243"/>
      <c r="I172" s="244" t="s">
        <v>4</v>
      </c>
      <c r="J172" s="245" t="s">
        <v>101</v>
      </c>
      <c r="K172" s="176"/>
      <c r="L172" s="176"/>
      <c r="M172" s="176"/>
      <c r="N172" s="176"/>
      <c r="O172" s="176"/>
      <c r="P172" s="176"/>
      <c r="Q172" s="176"/>
      <c r="R172" s="176"/>
      <c r="S172" s="176"/>
      <c r="T172" s="176"/>
      <c r="U172" s="176"/>
      <c r="V172" s="176"/>
      <c r="W172" s="176"/>
      <c r="X172" s="176"/>
      <c r="Y172" s="176"/>
      <c r="Z172" s="176"/>
      <c r="AA172" s="176"/>
      <c r="AB172" s="176"/>
      <c r="AC172" s="176"/>
      <c r="AD172" s="176"/>
      <c r="AE172" s="176"/>
      <c r="AF172" s="176"/>
      <c r="AG172" s="176"/>
      <c r="AH172" s="176"/>
      <c r="AI172" s="176"/>
      <c r="AJ172" s="176"/>
      <c r="AK172" s="176"/>
      <c r="AL172" s="176"/>
      <c r="AM172" s="176"/>
      <c r="AN172" s="176"/>
      <c r="AO172" s="176"/>
      <c r="AP172" s="176"/>
      <c r="AQ172" s="176"/>
      <c r="AR172" s="176"/>
      <c r="AS172" s="176"/>
    </row>
    <row r="173" spans="1:45" s="7" customFormat="1" ht="24.95" customHeight="1" x14ac:dyDescent="0.25">
      <c r="A173" s="241"/>
      <c r="B173" s="242"/>
      <c r="C173" s="242"/>
      <c r="D173" s="242"/>
      <c r="E173" s="138" t="s">
        <v>244</v>
      </c>
      <c r="F173" s="138" t="s">
        <v>245</v>
      </c>
      <c r="G173" s="138" t="s">
        <v>246</v>
      </c>
      <c r="H173" s="177" t="s">
        <v>9</v>
      </c>
      <c r="I173" s="244"/>
      <c r="J173" s="245"/>
      <c r="K173" s="176"/>
      <c r="L173" s="176"/>
      <c r="M173" s="176"/>
      <c r="N173" s="176"/>
      <c r="O173" s="176"/>
      <c r="P173" s="176"/>
      <c r="Q173" s="176"/>
      <c r="R173" s="176"/>
      <c r="S173" s="176"/>
      <c r="T173" s="176"/>
      <c r="U173" s="176"/>
      <c r="V173" s="176"/>
      <c r="W173" s="176"/>
      <c r="X173" s="176"/>
      <c r="Y173" s="176"/>
      <c r="Z173" s="176"/>
      <c r="AA173" s="176"/>
      <c r="AB173" s="176"/>
      <c r="AC173" s="176"/>
      <c r="AD173" s="176"/>
      <c r="AE173" s="176"/>
      <c r="AF173" s="176"/>
      <c r="AG173" s="176"/>
      <c r="AH173" s="176"/>
      <c r="AI173" s="176"/>
      <c r="AJ173" s="176"/>
      <c r="AK173" s="176"/>
      <c r="AL173" s="176"/>
      <c r="AM173" s="176"/>
      <c r="AN173" s="176"/>
      <c r="AO173" s="176"/>
      <c r="AP173" s="176"/>
      <c r="AQ173" s="176"/>
      <c r="AR173" s="176"/>
      <c r="AS173" s="176"/>
    </row>
    <row r="174" spans="1:45" ht="24.95" customHeight="1" x14ac:dyDescent="0.2">
      <c r="A174" s="15"/>
      <c r="B174" s="297" t="s">
        <v>212</v>
      </c>
      <c r="C174" s="297"/>
      <c r="D174" s="297"/>
      <c r="E174" s="297"/>
      <c r="F174" s="297"/>
      <c r="G174" s="297"/>
      <c r="H174" s="297"/>
      <c r="I174" s="297"/>
      <c r="J174" s="297"/>
    </row>
    <row r="175" spans="1:45" ht="24.95" customHeight="1" x14ac:dyDescent="0.2">
      <c r="A175" s="52" t="s">
        <v>25</v>
      </c>
      <c r="B175" s="298" t="s">
        <v>156</v>
      </c>
      <c r="C175" s="298"/>
      <c r="D175" s="58" t="s">
        <v>10</v>
      </c>
      <c r="E175" s="104">
        <f>E43</f>
        <v>120</v>
      </c>
      <c r="F175" s="104">
        <f>F43</f>
        <v>0</v>
      </c>
      <c r="G175" s="104">
        <f>G43</f>
        <v>217</v>
      </c>
      <c r="H175" s="104">
        <f>SUM(E175:G175)</f>
        <v>337</v>
      </c>
      <c r="I175" s="229"/>
      <c r="J175" s="85">
        <f t="shared" ref="J175:J179" si="65">I175*H175</f>
        <v>0</v>
      </c>
    </row>
    <row r="176" spans="1:45" ht="24.95" customHeight="1" x14ac:dyDescent="0.2">
      <c r="A176" s="60" t="s">
        <v>213</v>
      </c>
      <c r="B176" s="337" t="s">
        <v>214</v>
      </c>
      <c r="C176" s="298"/>
      <c r="D176" s="77" t="s">
        <v>10</v>
      </c>
      <c r="E176" s="104">
        <f>E175</f>
        <v>120</v>
      </c>
      <c r="F176" s="104">
        <f t="shared" ref="F176:G176" si="66">F175</f>
        <v>0</v>
      </c>
      <c r="G176" s="104">
        <f t="shared" si="66"/>
        <v>217</v>
      </c>
      <c r="H176" s="104">
        <f t="shared" ref="H176:H180" si="67">SUM(E176:G176)</f>
        <v>337</v>
      </c>
      <c r="I176" s="231"/>
      <c r="J176" s="85">
        <f t="shared" si="65"/>
        <v>0</v>
      </c>
    </row>
    <row r="177" spans="1:45" ht="24.95" customHeight="1" x14ac:dyDescent="0.2">
      <c r="A177" s="46" t="s">
        <v>217</v>
      </c>
      <c r="B177" s="255" t="s">
        <v>308</v>
      </c>
      <c r="C177" s="255"/>
      <c r="D177" s="82" t="s">
        <v>12</v>
      </c>
      <c r="E177" s="28">
        <f>10*0.02</f>
        <v>0.2</v>
      </c>
      <c r="F177" s="49">
        <v>0</v>
      </c>
      <c r="G177" s="28">
        <f>35*0.02</f>
        <v>0.70000000000000007</v>
      </c>
      <c r="H177" s="203">
        <f t="shared" si="67"/>
        <v>0.90000000000000013</v>
      </c>
      <c r="I177" s="227"/>
      <c r="J177" s="85">
        <f t="shared" si="65"/>
        <v>0</v>
      </c>
    </row>
    <row r="178" spans="1:45" ht="24.95" customHeight="1" x14ac:dyDescent="0.2">
      <c r="A178" s="68" t="s">
        <v>27</v>
      </c>
      <c r="B178" s="295" t="s">
        <v>23</v>
      </c>
      <c r="C178" s="295"/>
      <c r="D178" s="78" t="s">
        <v>11</v>
      </c>
      <c r="E178" s="79">
        <v>0</v>
      </c>
      <c r="F178" s="79">
        <v>0</v>
      </c>
      <c r="G178" s="79">
        <v>35</v>
      </c>
      <c r="H178" s="104">
        <f t="shared" si="67"/>
        <v>35</v>
      </c>
      <c r="I178" s="226"/>
      <c r="J178" s="85">
        <f t="shared" si="65"/>
        <v>0</v>
      </c>
    </row>
    <row r="179" spans="1:45" ht="24.95" customHeight="1" x14ac:dyDescent="0.2">
      <c r="A179" s="68" t="s">
        <v>26</v>
      </c>
      <c r="B179" s="295" t="s">
        <v>92</v>
      </c>
      <c r="C179" s="295"/>
      <c r="D179" s="78" t="s">
        <v>12</v>
      </c>
      <c r="E179" s="80">
        <v>0</v>
      </c>
      <c r="F179" s="80">
        <v>0</v>
      </c>
      <c r="G179" s="80">
        <v>35</v>
      </c>
      <c r="H179" s="104">
        <f t="shared" si="67"/>
        <v>35</v>
      </c>
      <c r="I179" s="232"/>
      <c r="J179" s="85">
        <f t="shared" si="65"/>
        <v>0</v>
      </c>
    </row>
    <row r="180" spans="1:45" s="108" customFormat="1" ht="24.95" customHeight="1" x14ac:dyDescent="0.2">
      <c r="A180" s="107" t="s">
        <v>236</v>
      </c>
      <c r="B180" s="246" t="s">
        <v>235</v>
      </c>
      <c r="C180" s="246"/>
      <c r="D180" s="107" t="s">
        <v>21</v>
      </c>
      <c r="E180" s="68">
        <f t="shared" ref="E180:F180" si="68">(E179*0.3)</f>
        <v>0</v>
      </c>
      <c r="F180" s="68">
        <f t="shared" si="68"/>
        <v>0</v>
      </c>
      <c r="G180" s="68">
        <f>(G179*0.3)</f>
        <v>10.5</v>
      </c>
      <c r="H180" s="203">
        <f t="shared" si="67"/>
        <v>10.5</v>
      </c>
      <c r="I180" s="227"/>
      <c r="J180" s="196">
        <f t="shared" ref="J180" si="69">H180*I180</f>
        <v>0</v>
      </c>
      <c r="K180" s="176"/>
      <c r="L180" s="176"/>
      <c r="M180" s="176"/>
      <c r="N180" s="176"/>
      <c r="O180" s="176"/>
      <c r="P180" s="176"/>
      <c r="Q180" s="176"/>
      <c r="R180" s="176"/>
      <c r="S180" s="176"/>
      <c r="T180" s="176"/>
      <c r="U180" s="176"/>
      <c r="V180" s="176"/>
      <c r="W180" s="176"/>
      <c r="X180" s="176"/>
      <c r="Y180" s="176"/>
      <c r="Z180" s="176"/>
      <c r="AA180" s="176"/>
      <c r="AB180" s="176"/>
      <c r="AC180" s="176"/>
      <c r="AD180" s="176"/>
      <c r="AE180" s="176"/>
      <c r="AF180" s="176"/>
      <c r="AG180" s="176"/>
      <c r="AH180" s="176"/>
      <c r="AI180" s="176"/>
      <c r="AJ180" s="176"/>
      <c r="AK180" s="176"/>
      <c r="AL180" s="176"/>
      <c r="AM180" s="176"/>
      <c r="AN180" s="176"/>
      <c r="AO180" s="176"/>
      <c r="AP180" s="176"/>
      <c r="AQ180" s="176"/>
      <c r="AR180" s="176"/>
      <c r="AS180" s="176"/>
    </row>
    <row r="181" spans="1:45" ht="24.95" customHeight="1" x14ac:dyDescent="0.2">
      <c r="A181" s="15"/>
      <c r="B181" s="296" t="s">
        <v>215</v>
      </c>
      <c r="C181" s="296"/>
      <c r="D181" s="81"/>
      <c r="E181" s="81"/>
      <c r="F181" s="81"/>
      <c r="G181" s="81"/>
      <c r="H181" s="216"/>
      <c r="I181" s="216"/>
      <c r="J181" s="204">
        <f>SUM(J175:J180)</f>
        <v>0</v>
      </c>
    </row>
    <row r="182" spans="1:45" s="48" customFormat="1" ht="24.95" customHeight="1" x14ac:dyDescent="0.25">
      <c r="A182" s="241"/>
      <c r="B182" s="242" t="s">
        <v>8</v>
      </c>
      <c r="C182" s="242"/>
      <c r="D182" s="242" t="s">
        <v>186</v>
      </c>
      <c r="E182" s="243" t="s">
        <v>100</v>
      </c>
      <c r="F182" s="243"/>
      <c r="G182" s="243"/>
      <c r="H182" s="243"/>
      <c r="I182" s="244" t="s">
        <v>4</v>
      </c>
      <c r="J182" s="245" t="s">
        <v>101</v>
      </c>
      <c r="K182" s="176"/>
      <c r="L182" s="176"/>
      <c r="M182" s="176"/>
      <c r="N182" s="176"/>
      <c r="O182" s="176"/>
      <c r="P182" s="176"/>
      <c r="Q182" s="176"/>
      <c r="R182" s="176"/>
      <c r="S182" s="176"/>
      <c r="T182" s="176"/>
      <c r="U182" s="176"/>
      <c r="V182" s="176"/>
      <c r="W182" s="176"/>
      <c r="X182" s="176"/>
      <c r="Y182" s="176"/>
      <c r="Z182" s="176"/>
      <c r="AA182" s="176"/>
      <c r="AB182" s="176"/>
      <c r="AC182" s="176"/>
      <c r="AD182" s="176"/>
      <c r="AE182" s="176"/>
      <c r="AF182" s="176"/>
      <c r="AG182" s="176"/>
      <c r="AH182" s="176"/>
      <c r="AI182" s="176"/>
      <c r="AJ182" s="176"/>
      <c r="AK182" s="176"/>
      <c r="AL182" s="176"/>
      <c r="AM182" s="176"/>
      <c r="AN182" s="176"/>
      <c r="AO182" s="176"/>
      <c r="AP182" s="176"/>
      <c r="AQ182" s="176"/>
      <c r="AR182" s="176"/>
      <c r="AS182" s="176"/>
    </row>
    <row r="183" spans="1:45" s="7" customFormat="1" ht="24.95" customHeight="1" x14ac:dyDescent="0.25">
      <c r="A183" s="241"/>
      <c r="B183" s="242"/>
      <c r="C183" s="242"/>
      <c r="D183" s="242"/>
      <c r="E183" s="138" t="s">
        <v>244</v>
      </c>
      <c r="F183" s="138" t="s">
        <v>245</v>
      </c>
      <c r="G183" s="138" t="s">
        <v>246</v>
      </c>
      <c r="H183" s="177" t="s">
        <v>9</v>
      </c>
      <c r="I183" s="244"/>
      <c r="J183" s="245"/>
      <c r="K183" s="176"/>
      <c r="L183" s="176"/>
      <c r="M183" s="176"/>
      <c r="N183" s="176"/>
      <c r="O183" s="176"/>
      <c r="P183" s="176"/>
      <c r="Q183" s="176"/>
      <c r="R183" s="176"/>
      <c r="S183" s="176"/>
      <c r="T183" s="176"/>
      <c r="U183" s="176"/>
      <c r="V183" s="176"/>
      <c r="W183" s="176"/>
      <c r="X183" s="176"/>
      <c r="Y183" s="176"/>
      <c r="Z183" s="176"/>
      <c r="AA183" s="176"/>
      <c r="AB183" s="176"/>
      <c r="AC183" s="176"/>
      <c r="AD183" s="176"/>
      <c r="AE183" s="176"/>
      <c r="AF183" s="176"/>
      <c r="AG183" s="176"/>
      <c r="AH183" s="176"/>
      <c r="AI183" s="176"/>
      <c r="AJ183" s="176"/>
      <c r="AK183" s="176"/>
      <c r="AL183" s="176"/>
      <c r="AM183" s="176"/>
      <c r="AN183" s="176"/>
      <c r="AO183" s="176"/>
      <c r="AP183" s="176"/>
      <c r="AQ183" s="176"/>
      <c r="AR183" s="176"/>
      <c r="AS183" s="176"/>
    </row>
    <row r="184" spans="1:45" ht="24.95" customHeight="1" x14ac:dyDescent="0.2">
      <c r="A184" s="14"/>
      <c r="B184" s="317" t="s">
        <v>16</v>
      </c>
      <c r="C184" s="317"/>
      <c r="D184" s="317"/>
      <c r="E184" s="317"/>
      <c r="F184" s="317"/>
      <c r="G184" s="317"/>
      <c r="H184" s="317"/>
      <c r="I184" s="317"/>
      <c r="J184" s="317"/>
    </row>
    <row r="185" spans="1:45" ht="24.95" customHeight="1" x14ac:dyDescent="0.2">
      <c r="A185" s="26" t="s">
        <v>25</v>
      </c>
      <c r="B185" s="353" t="s">
        <v>375</v>
      </c>
      <c r="C185" s="353"/>
      <c r="D185" s="139" t="s">
        <v>10</v>
      </c>
      <c r="E185" s="134">
        <v>0</v>
      </c>
      <c r="F185" s="134">
        <v>0</v>
      </c>
      <c r="G185" s="134">
        <v>2</v>
      </c>
      <c r="H185" s="135">
        <f>SUM(E185:G185)</f>
        <v>2</v>
      </c>
      <c r="I185" s="227"/>
      <c r="J185" s="85">
        <f t="shared" ref="J185:J205" si="70">H185*I185</f>
        <v>0</v>
      </c>
    </row>
    <row r="186" spans="1:45" s="40" customFormat="1" ht="24.95" customHeight="1" x14ac:dyDescent="0.2">
      <c r="A186" s="21" t="s">
        <v>25</v>
      </c>
      <c r="B186" s="249" t="s">
        <v>157</v>
      </c>
      <c r="C186" s="249"/>
      <c r="D186" s="46" t="s">
        <v>10</v>
      </c>
      <c r="E186" s="134">
        <f>SUM(E11)</f>
        <v>13</v>
      </c>
      <c r="F186" s="134">
        <f>SUM(F11)</f>
        <v>10</v>
      </c>
      <c r="G186" s="134">
        <f>SUM(G11)+2</f>
        <v>4</v>
      </c>
      <c r="H186" s="135">
        <f>SUM(E186:G186)</f>
        <v>27</v>
      </c>
      <c r="I186" s="227"/>
      <c r="J186" s="85">
        <f t="shared" si="70"/>
        <v>0</v>
      </c>
      <c r="K186" s="176"/>
      <c r="L186" s="176"/>
      <c r="M186" s="176"/>
      <c r="N186" s="176"/>
      <c r="O186" s="176"/>
      <c r="P186" s="176"/>
      <c r="Q186" s="176"/>
      <c r="R186" s="176"/>
      <c r="S186" s="176"/>
      <c r="T186" s="176"/>
      <c r="U186" s="176"/>
      <c r="V186" s="176"/>
      <c r="W186" s="176"/>
      <c r="X186" s="176"/>
      <c r="Y186" s="176"/>
      <c r="Z186" s="176"/>
      <c r="AA186" s="176"/>
      <c r="AB186" s="176"/>
      <c r="AC186" s="176"/>
      <c r="AD186" s="176"/>
      <c r="AE186" s="176"/>
      <c r="AF186" s="176"/>
      <c r="AG186" s="176"/>
      <c r="AH186" s="176"/>
      <c r="AI186" s="176"/>
      <c r="AJ186" s="176"/>
      <c r="AK186" s="176"/>
      <c r="AL186" s="176"/>
      <c r="AM186" s="176"/>
      <c r="AN186" s="176"/>
      <c r="AO186" s="176"/>
      <c r="AP186" s="176"/>
      <c r="AQ186" s="176"/>
      <c r="AR186" s="176"/>
      <c r="AS186" s="176"/>
    </row>
    <row r="187" spans="1:45" s="108" customFormat="1" ht="24.95" customHeight="1" x14ac:dyDescent="0.2">
      <c r="A187" s="107" t="s">
        <v>229</v>
      </c>
      <c r="B187" s="344" t="s">
        <v>230</v>
      </c>
      <c r="C187" s="345"/>
      <c r="D187" s="68" t="s">
        <v>10</v>
      </c>
      <c r="E187" s="205">
        <f>E186</f>
        <v>13</v>
      </c>
      <c r="F187" s="205">
        <f t="shared" ref="F187:G187" si="71">F186</f>
        <v>10</v>
      </c>
      <c r="G187" s="205">
        <f t="shared" si="71"/>
        <v>4</v>
      </c>
      <c r="H187" s="135">
        <f t="shared" ref="H187:H205" si="72">SUM(E187:G187)</f>
        <v>27</v>
      </c>
      <c r="I187" s="227"/>
      <c r="J187" s="196">
        <f t="shared" si="70"/>
        <v>0</v>
      </c>
      <c r="K187" s="176"/>
      <c r="L187" s="176"/>
      <c r="M187" s="176"/>
      <c r="N187" s="176"/>
      <c r="O187" s="176"/>
      <c r="P187" s="176"/>
      <c r="Q187" s="176"/>
      <c r="R187" s="176"/>
      <c r="S187" s="176"/>
      <c r="T187" s="176"/>
      <c r="U187" s="176"/>
      <c r="V187" s="176"/>
      <c r="W187" s="176"/>
      <c r="X187" s="176"/>
      <c r="Y187" s="176"/>
      <c r="Z187" s="176"/>
      <c r="AA187" s="176"/>
      <c r="AB187" s="176"/>
      <c r="AC187" s="176"/>
      <c r="AD187" s="176"/>
      <c r="AE187" s="176"/>
      <c r="AF187" s="176"/>
      <c r="AG187" s="176"/>
      <c r="AH187" s="176"/>
      <c r="AI187" s="176"/>
      <c r="AJ187" s="176"/>
      <c r="AK187" s="176"/>
      <c r="AL187" s="176"/>
      <c r="AM187" s="176"/>
      <c r="AN187" s="176"/>
      <c r="AO187" s="176"/>
      <c r="AP187" s="176"/>
      <c r="AQ187" s="176"/>
      <c r="AR187" s="176"/>
      <c r="AS187" s="176"/>
    </row>
    <row r="188" spans="1:45" s="108" customFormat="1" ht="24.95" customHeight="1" x14ac:dyDescent="0.2">
      <c r="A188" s="107" t="s">
        <v>232</v>
      </c>
      <c r="B188" s="344" t="s">
        <v>231</v>
      </c>
      <c r="C188" s="345"/>
      <c r="D188" s="68" t="s">
        <v>10</v>
      </c>
      <c r="E188" s="68">
        <f t="shared" ref="E188:F188" si="73">SUM(E187)</f>
        <v>13</v>
      </c>
      <c r="F188" s="68">
        <f t="shared" si="73"/>
        <v>10</v>
      </c>
      <c r="G188" s="68">
        <f>SUM(G187)</f>
        <v>4</v>
      </c>
      <c r="H188" s="135">
        <f t="shared" si="72"/>
        <v>27</v>
      </c>
      <c r="I188" s="227"/>
      <c r="J188" s="196">
        <f t="shared" si="70"/>
        <v>0</v>
      </c>
      <c r="K188" s="176"/>
      <c r="L188" s="176"/>
      <c r="M188" s="176"/>
      <c r="N188" s="176"/>
      <c r="O188" s="176"/>
      <c r="P188" s="176"/>
      <c r="Q188" s="176"/>
      <c r="R188" s="176"/>
      <c r="S188" s="176"/>
      <c r="T188" s="176"/>
      <c r="U188" s="176"/>
      <c r="V188" s="176"/>
      <c r="W188" s="176"/>
      <c r="X188" s="176"/>
      <c r="Y188" s="176"/>
      <c r="Z188" s="176"/>
      <c r="AA188" s="176"/>
      <c r="AB188" s="176"/>
      <c r="AC188" s="176"/>
      <c r="AD188" s="176"/>
      <c r="AE188" s="176"/>
      <c r="AF188" s="176"/>
      <c r="AG188" s="176"/>
      <c r="AH188" s="176"/>
      <c r="AI188" s="176"/>
      <c r="AJ188" s="176"/>
      <c r="AK188" s="176"/>
      <c r="AL188" s="176"/>
      <c r="AM188" s="176"/>
      <c r="AN188" s="176"/>
      <c r="AO188" s="176"/>
      <c r="AP188" s="176"/>
      <c r="AQ188" s="176"/>
      <c r="AR188" s="176"/>
      <c r="AS188" s="176"/>
    </row>
    <row r="189" spans="1:45" ht="24.95" customHeight="1" x14ac:dyDescent="0.2">
      <c r="A189" s="46" t="s">
        <v>217</v>
      </c>
      <c r="B189" s="255" t="s">
        <v>309</v>
      </c>
      <c r="C189" s="255"/>
      <c r="D189" s="82" t="s">
        <v>12</v>
      </c>
      <c r="E189" s="28">
        <f>E186*0.08</f>
        <v>1.04</v>
      </c>
      <c r="F189" s="28">
        <f t="shared" ref="F189:G189" si="74">F186*0.08</f>
        <v>0.8</v>
      </c>
      <c r="G189" s="28">
        <f t="shared" si="74"/>
        <v>0.32</v>
      </c>
      <c r="H189" s="135">
        <f t="shared" si="72"/>
        <v>2.16</v>
      </c>
      <c r="I189" s="227"/>
      <c r="J189" s="85">
        <f>H189*I189</f>
        <v>0</v>
      </c>
    </row>
    <row r="190" spans="1:45" s="108" customFormat="1" ht="24.95" customHeight="1" x14ac:dyDescent="0.2">
      <c r="A190" s="68" t="s">
        <v>26</v>
      </c>
      <c r="B190" s="338" t="s">
        <v>233</v>
      </c>
      <c r="C190" s="339"/>
      <c r="D190" s="65" t="s">
        <v>12</v>
      </c>
      <c r="E190" s="111">
        <f t="shared" ref="E190:F190" si="75">E186*0.5</f>
        <v>6.5</v>
      </c>
      <c r="F190" s="111">
        <f t="shared" si="75"/>
        <v>5</v>
      </c>
      <c r="G190" s="111">
        <f>G186*0.5</f>
        <v>2</v>
      </c>
      <c r="H190" s="135">
        <f t="shared" si="72"/>
        <v>13.5</v>
      </c>
      <c r="I190" s="230"/>
      <c r="J190" s="196">
        <f t="shared" ref="J190" si="76">H190*I190</f>
        <v>0</v>
      </c>
      <c r="K190" s="176"/>
      <c r="L190" s="176"/>
      <c r="M190" s="176"/>
      <c r="N190" s="176"/>
      <c r="O190" s="176"/>
      <c r="P190" s="176"/>
      <c r="Q190" s="176"/>
      <c r="R190" s="176"/>
      <c r="S190" s="176"/>
      <c r="T190" s="176"/>
      <c r="U190" s="176"/>
      <c r="V190" s="176"/>
      <c r="W190" s="176"/>
      <c r="X190" s="176"/>
      <c r="Y190" s="176"/>
      <c r="Z190" s="176"/>
      <c r="AA190" s="176"/>
      <c r="AB190" s="176"/>
      <c r="AC190" s="176"/>
      <c r="AD190" s="176"/>
      <c r="AE190" s="176"/>
      <c r="AF190" s="176"/>
      <c r="AG190" s="176"/>
      <c r="AH190" s="176"/>
      <c r="AI190" s="176"/>
      <c r="AJ190" s="176"/>
      <c r="AK190" s="176"/>
      <c r="AL190" s="176"/>
      <c r="AM190" s="176"/>
      <c r="AN190" s="176"/>
      <c r="AO190" s="176"/>
      <c r="AP190" s="176"/>
      <c r="AQ190" s="176"/>
      <c r="AR190" s="176"/>
      <c r="AS190" s="176"/>
    </row>
    <row r="191" spans="1:45" ht="24.95" customHeight="1" x14ac:dyDescent="0.2">
      <c r="A191" s="14" t="s">
        <v>40</v>
      </c>
      <c r="B191" s="301" t="s">
        <v>137</v>
      </c>
      <c r="C191" s="301"/>
      <c r="D191" s="14" t="s">
        <v>21</v>
      </c>
      <c r="E191" s="59">
        <f t="shared" ref="E191:F191" si="77">SUM(E192*0.00001)</f>
        <v>6.5000000000000008E-4</v>
      </c>
      <c r="F191" s="59">
        <f t="shared" si="77"/>
        <v>5.0000000000000001E-4</v>
      </c>
      <c r="G191" s="59">
        <f>SUM(G192*0.00001)</f>
        <v>2.0000000000000001E-4</v>
      </c>
      <c r="H191" s="136">
        <f t="shared" si="72"/>
        <v>1.3500000000000001E-3</v>
      </c>
      <c r="I191" s="228"/>
      <c r="J191" s="85">
        <f t="shared" si="70"/>
        <v>0</v>
      </c>
    </row>
    <row r="192" spans="1:45" ht="24.95" customHeight="1" x14ac:dyDescent="0.2">
      <c r="A192" s="15" t="s">
        <v>26</v>
      </c>
      <c r="B192" s="248" t="s">
        <v>142</v>
      </c>
      <c r="C192" s="248"/>
      <c r="D192" s="15" t="s">
        <v>10</v>
      </c>
      <c r="E192" s="15">
        <f t="shared" ref="E192:F192" si="78">E186*5</f>
        <v>65</v>
      </c>
      <c r="F192" s="15">
        <f t="shared" si="78"/>
        <v>50</v>
      </c>
      <c r="G192" s="15">
        <f>G186*5</f>
        <v>20</v>
      </c>
      <c r="H192" s="135">
        <f t="shared" si="72"/>
        <v>135</v>
      </c>
      <c r="I192" s="227"/>
      <c r="J192" s="85">
        <f t="shared" si="70"/>
        <v>0</v>
      </c>
    </row>
    <row r="193" spans="1:45" ht="24.95" customHeight="1" x14ac:dyDescent="0.2">
      <c r="A193" s="15" t="s">
        <v>40</v>
      </c>
      <c r="B193" s="329" t="s">
        <v>138</v>
      </c>
      <c r="C193" s="329"/>
      <c r="D193" s="45" t="s">
        <v>21</v>
      </c>
      <c r="E193" s="136">
        <f t="shared" ref="E193:F193" si="79">SUM(E194*0.001)</f>
        <v>1.3000000000000002E-3</v>
      </c>
      <c r="F193" s="136">
        <f t="shared" si="79"/>
        <v>1E-3</v>
      </c>
      <c r="G193" s="136">
        <f>SUM(G194*0.001)</f>
        <v>4.0000000000000002E-4</v>
      </c>
      <c r="H193" s="136">
        <f t="shared" si="72"/>
        <v>2.7000000000000001E-3</v>
      </c>
      <c r="I193" s="233"/>
      <c r="J193" s="85">
        <f t="shared" si="70"/>
        <v>0</v>
      </c>
    </row>
    <row r="194" spans="1:45" s="6" customFormat="1" ht="24.95" customHeight="1" x14ac:dyDescent="0.2">
      <c r="A194" s="15" t="s">
        <v>26</v>
      </c>
      <c r="B194" s="255" t="s">
        <v>146</v>
      </c>
      <c r="C194" s="256"/>
      <c r="D194" s="15" t="s">
        <v>15</v>
      </c>
      <c r="E194" s="28">
        <f t="shared" ref="E194:F194" si="80">SUM(E186*0.1)</f>
        <v>1.3</v>
      </c>
      <c r="F194" s="28">
        <f t="shared" si="80"/>
        <v>1</v>
      </c>
      <c r="G194" s="28">
        <f>SUM(G186*0.1)</f>
        <v>0.4</v>
      </c>
      <c r="H194" s="135">
        <f t="shared" si="72"/>
        <v>2.6999999999999997</v>
      </c>
      <c r="I194" s="227"/>
      <c r="J194" s="85">
        <f t="shared" si="70"/>
        <v>0</v>
      </c>
      <c r="K194" s="176"/>
      <c r="L194" s="176"/>
      <c r="M194" s="176"/>
      <c r="N194" s="176"/>
      <c r="O194" s="176"/>
      <c r="P194" s="176"/>
      <c r="Q194" s="176"/>
      <c r="R194" s="176"/>
      <c r="S194" s="176"/>
      <c r="T194" s="176"/>
      <c r="U194" s="176"/>
      <c r="V194" s="176"/>
      <c r="W194" s="176"/>
      <c r="X194" s="176"/>
      <c r="Y194" s="176"/>
      <c r="Z194" s="176"/>
      <c r="AA194" s="176"/>
      <c r="AB194" s="176"/>
      <c r="AC194" s="176"/>
      <c r="AD194" s="176"/>
      <c r="AE194" s="176"/>
      <c r="AF194" s="176"/>
      <c r="AG194" s="176"/>
      <c r="AH194" s="176"/>
      <c r="AI194" s="176"/>
      <c r="AJ194" s="176"/>
      <c r="AK194" s="176"/>
      <c r="AL194" s="176"/>
      <c r="AM194" s="176"/>
      <c r="AN194" s="176"/>
      <c r="AO194" s="176"/>
      <c r="AP194" s="176"/>
      <c r="AQ194" s="176"/>
      <c r="AR194" s="176"/>
      <c r="AS194" s="176"/>
    </row>
    <row r="195" spans="1:45" s="6" customFormat="1" ht="24.95" customHeight="1" x14ac:dyDescent="0.2">
      <c r="A195" s="15" t="s">
        <v>45</v>
      </c>
      <c r="B195" s="329" t="s">
        <v>46</v>
      </c>
      <c r="C195" s="329"/>
      <c r="D195" s="45" t="s">
        <v>10</v>
      </c>
      <c r="E195" s="45">
        <f t="shared" ref="E195:F195" si="81">E186</f>
        <v>13</v>
      </c>
      <c r="F195" s="45">
        <f t="shared" si="81"/>
        <v>10</v>
      </c>
      <c r="G195" s="45">
        <f>G186</f>
        <v>4</v>
      </c>
      <c r="H195" s="135">
        <f t="shared" si="72"/>
        <v>27</v>
      </c>
      <c r="I195" s="227"/>
      <c r="J195" s="85">
        <f t="shared" si="70"/>
        <v>0</v>
      </c>
      <c r="K195" s="176"/>
      <c r="L195" s="176"/>
      <c r="M195" s="176"/>
      <c r="N195" s="176"/>
      <c r="O195" s="176"/>
      <c r="P195" s="176"/>
      <c r="Q195" s="176"/>
      <c r="R195" s="176"/>
      <c r="S195" s="176"/>
      <c r="T195" s="176"/>
      <c r="U195" s="176"/>
      <c r="V195" s="176"/>
      <c r="W195" s="176"/>
      <c r="X195" s="176"/>
      <c r="Y195" s="176"/>
      <c r="Z195" s="176"/>
      <c r="AA195" s="176"/>
      <c r="AB195" s="176"/>
      <c r="AC195" s="176"/>
      <c r="AD195" s="176"/>
      <c r="AE195" s="176"/>
      <c r="AF195" s="176"/>
      <c r="AG195" s="176"/>
      <c r="AH195" s="176"/>
      <c r="AI195" s="176"/>
      <c r="AJ195" s="176"/>
      <c r="AK195" s="176"/>
      <c r="AL195" s="176"/>
      <c r="AM195" s="176"/>
      <c r="AN195" s="176"/>
      <c r="AO195" s="176"/>
      <c r="AP195" s="176"/>
      <c r="AQ195" s="176"/>
      <c r="AR195" s="176"/>
      <c r="AS195" s="176"/>
    </row>
    <row r="196" spans="1:45" ht="24.95" customHeight="1" x14ac:dyDescent="0.2">
      <c r="A196" s="15" t="s">
        <v>26</v>
      </c>
      <c r="B196" s="329" t="s">
        <v>49</v>
      </c>
      <c r="C196" s="329"/>
      <c r="D196" s="45" t="s">
        <v>10</v>
      </c>
      <c r="E196" s="45">
        <f t="shared" ref="E196:F196" si="82">E186*3</f>
        <v>39</v>
      </c>
      <c r="F196" s="45">
        <f t="shared" si="82"/>
        <v>30</v>
      </c>
      <c r="G196" s="45">
        <f>G186*3</f>
        <v>12</v>
      </c>
      <c r="H196" s="135">
        <f t="shared" si="72"/>
        <v>81</v>
      </c>
      <c r="I196" s="227"/>
      <c r="J196" s="85">
        <f t="shared" si="70"/>
        <v>0</v>
      </c>
    </row>
    <row r="197" spans="1:45" s="5" customFormat="1" ht="24.95" customHeight="1" x14ac:dyDescent="0.2">
      <c r="A197" s="15" t="s">
        <v>26</v>
      </c>
      <c r="B197" s="249" t="s">
        <v>50</v>
      </c>
      <c r="C197" s="249"/>
      <c r="D197" s="15" t="s">
        <v>10</v>
      </c>
      <c r="E197" s="45">
        <f t="shared" ref="E197:F197" si="83">E186*3</f>
        <v>39</v>
      </c>
      <c r="F197" s="45">
        <f t="shared" si="83"/>
        <v>30</v>
      </c>
      <c r="G197" s="45">
        <f>G186*3</f>
        <v>12</v>
      </c>
      <c r="H197" s="135">
        <f t="shared" si="72"/>
        <v>81</v>
      </c>
      <c r="I197" s="227"/>
      <c r="J197" s="85">
        <f t="shared" si="70"/>
        <v>0</v>
      </c>
      <c r="K197" s="176"/>
      <c r="L197" s="176"/>
      <c r="M197" s="176"/>
      <c r="N197" s="176"/>
      <c r="O197" s="176"/>
      <c r="P197" s="176"/>
      <c r="Q197" s="176"/>
      <c r="R197" s="176"/>
      <c r="S197" s="176"/>
      <c r="T197" s="176"/>
      <c r="U197" s="176"/>
      <c r="V197" s="176"/>
      <c r="W197" s="176"/>
      <c r="X197" s="176"/>
      <c r="Y197" s="176"/>
      <c r="Z197" s="176"/>
      <c r="AA197" s="176"/>
      <c r="AB197" s="176"/>
      <c r="AC197" s="176"/>
      <c r="AD197" s="176"/>
      <c r="AE197" s="176"/>
      <c r="AF197" s="176"/>
      <c r="AG197" s="176"/>
      <c r="AH197" s="176"/>
      <c r="AI197" s="176"/>
      <c r="AJ197" s="176"/>
      <c r="AK197" s="176"/>
      <c r="AL197" s="176"/>
      <c r="AM197" s="176"/>
      <c r="AN197" s="176"/>
      <c r="AO197" s="176"/>
      <c r="AP197" s="176"/>
      <c r="AQ197" s="176"/>
      <c r="AR197" s="176"/>
      <c r="AS197" s="176"/>
    </row>
    <row r="198" spans="1:45" s="5" customFormat="1" ht="24.95" customHeight="1" x14ac:dyDescent="0.2">
      <c r="A198" s="15" t="s">
        <v>26</v>
      </c>
      <c r="B198" s="249" t="s">
        <v>51</v>
      </c>
      <c r="C198" s="249"/>
      <c r="D198" s="15" t="s">
        <v>10</v>
      </c>
      <c r="E198" s="45">
        <f t="shared" ref="E198:F198" si="84">E186*3</f>
        <v>39</v>
      </c>
      <c r="F198" s="45">
        <f t="shared" si="84"/>
        <v>30</v>
      </c>
      <c r="G198" s="45">
        <f>G186*3</f>
        <v>12</v>
      </c>
      <c r="H198" s="135">
        <f t="shared" si="72"/>
        <v>81</v>
      </c>
      <c r="I198" s="227"/>
      <c r="J198" s="85">
        <f t="shared" si="70"/>
        <v>0</v>
      </c>
      <c r="K198" s="176"/>
      <c r="L198" s="176"/>
      <c r="M198" s="176"/>
      <c r="N198" s="176"/>
      <c r="O198" s="176"/>
      <c r="P198" s="176"/>
      <c r="Q198" s="176"/>
      <c r="R198" s="176"/>
      <c r="S198" s="176"/>
      <c r="T198" s="176"/>
      <c r="U198" s="176"/>
      <c r="V198" s="176"/>
      <c r="W198" s="176"/>
      <c r="X198" s="176"/>
      <c r="Y198" s="176"/>
      <c r="Z198" s="176"/>
      <c r="AA198" s="176"/>
      <c r="AB198" s="176"/>
      <c r="AC198" s="176"/>
      <c r="AD198" s="176"/>
      <c r="AE198" s="176"/>
      <c r="AF198" s="176"/>
      <c r="AG198" s="176"/>
      <c r="AH198" s="176"/>
      <c r="AI198" s="176"/>
      <c r="AJ198" s="176"/>
      <c r="AK198" s="176"/>
      <c r="AL198" s="176"/>
      <c r="AM198" s="176"/>
      <c r="AN198" s="176"/>
      <c r="AO198" s="176"/>
      <c r="AP198" s="176"/>
      <c r="AQ198" s="176"/>
      <c r="AR198" s="176"/>
      <c r="AS198" s="176"/>
    </row>
    <row r="199" spans="1:45" s="6" customFormat="1" ht="24.95" customHeight="1" x14ac:dyDescent="0.2">
      <c r="A199" s="15" t="s">
        <v>28</v>
      </c>
      <c r="B199" s="258" t="s">
        <v>24</v>
      </c>
      <c r="C199" s="258"/>
      <c r="D199" s="15" t="s">
        <v>11</v>
      </c>
      <c r="E199" s="28">
        <f t="shared" ref="E199:F199" si="85">SUM(E186)</f>
        <v>13</v>
      </c>
      <c r="F199" s="28">
        <f t="shared" si="85"/>
        <v>10</v>
      </c>
      <c r="G199" s="28">
        <f>SUM(G186)</f>
        <v>4</v>
      </c>
      <c r="H199" s="135">
        <f t="shared" si="72"/>
        <v>27</v>
      </c>
      <c r="I199" s="227"/>
      <c r="J199" s="85">
        <f t="shared" si="70"/>
        <v>0</v>
      </c>
      <c r="K199" s="176"/>
      <c r="L199" s="176"/>
      <c r="M199" s="176"/>
      <c r="N199" s="176"/>
      <c r="O199" s="176"/>
      <c r="P199" s="176"/>
      <c r="Q199" s="176"/>
      <c r="R199" s="176"/>
      <c r="S199" s="176"/>
      <c r="T199" s="176"/>
      <c r="U199" s="176"/>
      <c r="V199" s="176"/>
      <c r="W199" s="176"/>
      <c r="X199" s="176"/>
      <c r="Y199" s="176"/>
      <c r="Z199" s="176"/>
      <c r="AA199" s="176"/>
      <c r="AB199" s="176"/>
      <c r="AC199" s="176"/>
      <c r="AD199" s="176"/>
      <c r="AE199" s="176"/>
      <c r="AF199" s="176"/>
      <c r="AG199" s="176"/>
      <c r="AH199" s="176"/>
      <c r="AI199" s="176"/>
      <c r="AJ199" s="176"/>
      <c r="AK199" s="176"/>
      <c r="AL199" s="176"/>
      <c r="AM199" s="176"/>
      <c r="AN199" s="176"/>
      <c r="AO199" s="176"/>
      <c r="AP199" s="176"/>
      <c r="AQ199" s="176"/>
      <c r="AR199" s="176"/>
      <c r="AS199" s="176"/>
    </row>
    <row r="200" spans="1:45" s="6" customFormat="1" ht="24.95" customHeight="1" x14ac:dyDescent="0.2">
      <c r="A200" s="15" t="s">
        <v>26</v>
      </c>
      <c r="B200" s="258" t="s">
        <v>52</v>
      </c>
      <c r="C200" s="258"/>
      <c r="D200" s="15" t="s">
        <v>11</v>
      </c>
      <c r="E200" s="28">
        <f t="shared" ref="E200:F200" si="86">SUM(E199)</f>
        <v>13</v>
      </c>
      <c r="F200" s="28">
        <f t="shared" si="86"/>
        <v>10</v>
      </c>
      <c r="G200" s="28">
        <f>SUM(G199)</f>
        <v>4</v>
      </c>
      <c r="H200" s="135">
        <f t="shared" si="72"/>
        <v>27</v>
      </c>
      <c r="I200" s="227"/>
      <c r="J200" s="85">
        <f t="shared" si="70"/>
        <v>0</v>
      </c>
      <c r="K200" s="176"/>
      <c r="L200" s="176"/>
      <c r="M200" s="176"/>
      <c r="N200" s="176"/>
      <c r="O200" s="176"/>
      <c r="P200" s="176"/>
      <c r="Q200" s="176"/>
      <c r="R200" s="176"/>
      <c r="S200" s="176"/>
      <c r="T200" s="176"/>
      <c r="U200" s="176"/>
      <c r="V200" s="176"/>
      <c r="W200" s="176"/>
      <c r="X200" s="176"/>
      <c r="Y200" s="176"/>
      <c r="Z200" s="176"/>
      <c r="AA200" s="176"/>
      <c r="AB200" s="176"/>
      <c r="AC200" s="176"/>
      <c r="AD200" s="176"/>
      <c r="AE200" s="176"/>
      <c r="AF200" s="176"/>
      <c r="AG200" s="176"/>
      <c r="AH200" s="176"/>
      <c r="AI200" s="176"/>
      <c r="AJ200" s="176"/>
      <c r="AK200" s="176"/>
      <c r="AL200" s="176"/>
      <c r="AM200" s="176"/>
      <c r="AN200" s="176"/>
      <c r="AO200" s="176"/>
      <c r="AP200" s="176"/>
      <c r="AQ200" s="176"/>
      <c r="AR200" s="176"/>
      <c r="AS200" s="176"/>
    </row>
    <row r="201" spans="1:45" s="6" customFormat="1" ht="24.95" customHeight="1" x14ac:dyDescent="0.2">
      <c r="A201" s="15" t="s">
        <v>56</v>
      </c>
      <c r="B201" s="130" t="s">
        <v>57</v>
      </c>
      <c r="C201" s="130"/>
      <c r="D201" s="15" t="s">
        <v>10</v>
      </c>
      <c r="E201" s="15">
        <f t="shared" ref="E201:F201" si="87">SUM(E187)</f>
        <v>13</v>
      </c>
      <c r="F201" s="15">
        <f t="shared" si="87"/>
        <v>10</v>
      </c>
      <c r="G201" s="15">
        <f>SUM(G187)</f>
        <v>4</v>
      </c>
      <c r="H201" s="135">
        <f t="shared" si="72"/>
        <v>27</v>
      </c>
      <c r="I201" s="227"/>
      <c r="J201" s="85">
        <f t="shared" si="70"/>
        <v>0</v>
      </c>
      <c r="K201" s="176"/>
      <c r="L201" s="176"/>
      <c r="M201" s="176"/>
      <c r="N201" s="176"/>
      <c r="O201" s="176"/>
      <c r="P201" s="176"/>
      <c r="Q201" s="176"/>
      <c r="R201" s="176"/>
      <c r="S201" s="176"/>
      <c r="T201" s="176"/>
      <c r="U201" s="176"/>
      <c r="V201" s="176"/>
      <c r="W201" s="176"/>
      <c r="X201" s="176"/>
      <c r="Y201" s="176"/>
      <c r="Z201" s="176"/>
      <c r="AA201" s="176"/>
      <c r="AB201" s="176"/>
      <c r="AC201" s="176"/>
      <c r="AD201" s="176"/>
      <c r="AE201" s="176"/>
      <c r="AF201" s="176"/>
      <c r="AG201" s="176"/>
      <c r="AH201" s="176"/>
      <c r="AI201" s="176"/>
      <c r="AJ201" s="176"/>
      <c r="AK201" s="176"/>
      <c r="AL201" s="176"/>
      <c r="AM201" s="176"/>
      <c r="AN201" s="176"/>
      <c r="AO201" s="176"/>
      <c r="AP201" s="176"/>
      <c r="AQ201" s="176"/>
      <c r="AR201" s="176"/>
      <c r="AS201" s="176"/>
    </row>
    <row r="202" spans="1:45" ht="24.95" customHeight="1" x14ac:dyDescent="0.2">
      <c r="A202" s="15" t="s">
        <v>26</v>
      </c>
      <c r="B202" s="292" t="s">
        <v>216</v>
      </c>
      <c r="C202" s="258"/>
      <c r="D202" s="15" t="s">
        <v>12</v>
      </c>
      <c r="E202" s="54">
        <f>E201*0.1</f>
        <v>1.3</v>
      </c>
      <c r="F202" s="54">
        <f t="shared" ref="F202:G202" si="88">F201*0.1</f>
        <v>1</v>
      </c>
      <c r="G202" s="54">
        <f t="shared" si="88"/>
        <v>0.4</v>
      </c>
      <c r="H202" s="135">
        <f t="shared" si="72"/>
        <v>2.6999999999999997</v>
      </c>
      <c r="I202" s="227"/>
      <c r="J202" s="85">
        <f t="shared" si="70"/>
        <v>0</v>
      </c>
    </row>
    <row r="203" spans="1:45" s="40" customFormat="1" ht="24.95" customHeight="1" x14ac:dyDescent="0.2">
      <c r="A203" s="102" t="s">
        <v>25</v>
      </c>
      <c r="B203" s="292" t="s">
        <v>237</v>
      </c>
      <c r="C203" s="258"/>
      <c r="D203" s="15" t="s">
        <v>10</v>
      </c>
      <c r="E203" s="45">
        <f t="shared" ref="E203:F203" si="89">SUM(E186)</f>
        <v>13</v>
      </c>
      <c r="F203" s="45">
        <f t="shared" si="89"/>
        <v>10</v>
      </c>
      <c r="G203" s="45">
        <f>SUM(G186)</f>
        <v>4</v>
      </c>
      <c r="H203" s="135">
        <f t="shared" si="72"/>
        <v>27</v>
      </c>
      <c r="I203" s="227"/>
      <c r="J203" s="185">
        <f t="shared" si="70"/>
        <v>0</v>
      </c>
      <c r="K203" s="176"/>
      <c r="L203" s="176"/>
      <c r="M203" s="176"/>
      <c r="N203" s="176"/>
      <c r="O203" s="176"/>
      <c r="P203" s="176"/>
      <c r="Q203" s="176"/>
      <c r="R203" s="176"/>
      <c r="S203" s="176"/>
      <c r="T203" s="176"/>
      <c r="U203" s="176"/>
      <c r="V203" s="176"/>
      <c r="W203" s="176"/>
      <c r="X203" s="176"/>
      <c r="Y203" s="176"/>
      <c r="Z203" s="176"/>
      <c r="AA203" s="176"/>
      <c r="AB203" s="176"/>
      <c r="AC203" s="176"/>
      <c r="AD203" s="176"/>
      <c r="AE203" s="176"/>
      <c r="AF203" s="176"/>
      <c r="AG203" s="176"/>
      <c r="AH203" s="176"/>
      <c r="AI203" s="176"/>
      <c r="AJ203" s="176"/>
      <c r="AK203" s="176"/>
      <c r="AL203" s="176"/>
      <c r="AM203" s="176"/>
      <c r="AN203" s="176"/>
      <c r="AO203" s="176"/>
      <c r="AP203" s="176"/>
      <c r="AQ203" s="176"/>
      <c r="AR203" s="176"/>
      <c r="AS203" s="176"/>
    </row>
    <row r="204" spans="1:45" s="108" customFormat="1" ht="24.95" customHeight="1" x14ac:dyDescent="0.2">
      <c r="A204" s="109" t="s">
        <v>224</v>
      </c>
      <c r="B204" s="110" t="s">
        <v>223</v>
      </c>
      <c r="C204" s="66"/>
      <c r="D204" s="68" t="s">
        <v>10</v>
      </c>
      <c r="E204" s="68">
        <f t="shared" ref="E204:F204" si="90">E187</f>
        <v>13</v>
      </c>
      <c r="F204" s="68">
        <f t="shared" si="90"/>
        <v>10</v>
      </c>
      <c r="G204" s="68">
        <f>G187</f>
        <v>4</v>
      </c>
      <c r="H204" s="135">
        <f t="shared" si="72"/>
        <v>27</v>
      </c>
      <c r="I204" s="227"/>
      <c r="J204" s="196">
        <f t="shared" si="70"/>
        <v>0</v>
      </c>
      <c r="K204" s="176"/>
      <c r="L204" s="176"/>
      <c r="M204" s="176"/>
      <c r="N204" s="176"/>
      <c r="O204" s="176"/>
      <c r="P204" s="176"/>
      <c r="Q204" s="176"/>
      <c r="R204" s="176"/>
      <c r="S204" s="176"/>
      <c r="T204" s="176"/>
      <c r="U204" s="176"/>
      <c r="V204" s="176"/>
      <c r="W204" s="176"/>
      <c r="X204" s="176"/>
      <c r="Y204" s="176"/>
      <c r="Z204" s="176"/>
      <c r="AA204" s="176"/>
      <c r="AB204" s="176"/>
      <c r="AC204" s="176"/>
      <c r="AD204" s="176"/>
      <c r="AE204" s="176"/>
      <c r="AF204" s="176"/>
      <c r="AG204" s="176"/>
      <c r="AH204" s="176"/>
      <c r="AI204" s="176"/>
      <c r="AJ204" s="176"/>
      <c r="AK204" s="176"/>
      <c r="AL204" s="176"/>
      <c r="AM204" s="176"/>
      <c r="AN204" s="176"/>
      <c r="AO204" s="176"/>
      <c r="AP204" s="176"/>
      <c r="AQ204" s="176"/>
      <c r="AR204" s="176"/>
      <c r="AS204" s="176"/>
    </row>
    <row r="205" spans="1:45" s="108" customFormat="1" ht="24.95" customHeight="1" x14ac:dyDescent="0.2">
      <c r="A205" s="107" t="s">
        <v>236</v>
      </c>
      <c r="B205" s="246" t="s">
        <v>235</v>
      </c>
      <c r="C205" s="246"/>
      <c r="D205" s="107" t="s">
        <v>21</v>
      </c>
      <c r="E205" s="201">
        <f>(E202*0.3)+E191+E193+(0.8*E190)+(E196*0.001)</f>
        <v>5.6309500000000003</v>
      </c>
      <c r="F205" s="201">
        <f>(F202*0.3)+F191+F193+(0.8*F190)+(F196*0.001)</f>
        <v>4.3315000000000001</v>
      </c>
      <c r="G205" s="201">
        <f>(G202*0.3)+G191+G193+(0.8*G190)+(G196*0.001)</f>
        <v>1.7326000000000001</v>
      </c>
      <c r="H205" s="135">
        <f t="shared" si="72"/>
        <v>11.69505</v>
      </c>
      <c r="I205" s="227"/>
      <c r="J205" s="196">
        <f t="shared" si="70"/>
        <v>0</v>
      </c>
      <c r="K205" s="176"/>
      <c r="L205" s="176"/>
      <c r="M205" s="176"/>
      <c r="N205" s="176"/>
      <c r="O205" s="176"/>
      <c r="P205" s="176"/>
      <c r="Q205" s="176"/>
      <c r="R205" s="176"/>
      <c r="S205" s="176"/>
      <c r="T205" s="176"/>
      <c r="U205" s="176"/>
      <c r="V205" s="176"/>
      <c r="W205" s="176"/>
      <c r="X205" s="176"/>
      <c r="Y205" s="176"/>
      <c r="Z205" s="176"/>
      <c r="AA205" s="176"/>
      <c r="AB205" s="176"/>
      <c r="AC205" s="176"/>
      <c r="AD205" s="176"/>
      <c r="AE205" s="176"/>
      <c r="AF205" s="176"/>
      <c r="AG205" s="176"/>
      <c r="AH205" s="176"/>
      <c r="AI205" s="176"/>
      <c r="AJ205" s="176"/>
      <c r="AK205" s="176"/>
      <c r="AL205" s="176"/>
      <c r="AM205" s="176"/>
      <c r="AN205" s="176"/>
      <c r="AO205" s="176"/>
      <c r="AP205" s="176"/>
      <c r="AQ205" s="176"/>
      <c r="AR205" s="176"/>
      <c r="AS205" s="176"/>
    </row>
    <row r="206" spans="1:45" ht="24.95" customHeight="1" x14ac:dyDescent="0.2">
      <c r="A206" s="14"/>
      <c r="B206" s="336" t="s">
        <v>310</v>
      </c>
      <c r="C206" s="336"/>
      <c r="D206" s="55"/>
      <c r="E206" s="55"/>
      <c r="F206" s="55"/>
      <c r="G206" s="55"/>
      <c r="H206" s="206"/>
      <c r="I206" s="207"/>
      <c r="J206" s="88">
        <f>SUM(J185:J205)</f>
        <v>0</v>
      </c>
    </row>
    <row r="207" spans="1:45" s="48" customFormat="1" ht="24.95" customHeight="1" x14ac:dyDescent="0.25">
      <c r="A207" s="241"/>
      <c r="B207" s="242" t="s">
        <v>8</v>
      </c>
      <c r="C207" s="242"/>
      <c r="D207" s="242" t="s">
        <v>186</v>
      </c>
      <c r="E207" s="243" t="s">
        <v>100</v>
      </c>
      <c r="F207" s="243"/>
      <c r="G207" s="243"/>
      <c r="H207" s="243"/>
      <c r="I207" s="244" t="s">
        <v>4</v>
      </c>
      <c r="J207" s="245" t="s">
        <v>101</v>
      </c>
      <c r="K207" s="176"/>
      <c r="L207" s="176"/>
      <c r="M207" s="176"/>
      <c r="N207" s="176"/>
      <c r="O207" s="176"/>
      <c r="P207" s="176"/>
      <c r="Q207" s="176"/>
      <c r="R207" s="176"/>
      <c r="S207" s="176"/>
      <c r="T207" s="176"/>
      <c r="U207" s="176"/>
      <c r="V207" s="176"/>
      <c r="W207" s="176"/>
      <c r="X207" s="176"/>
      <c r="Y207" s="176"/>
      <c r="Z207" s="176"/>
      <c r="AA207" s="176"/>
      <c r="AB207" s="176"/>
      <c r="AC207" s="176"/>
      <c r="AD207" s="176"/>
      <c r="AE207" s="176"/>
      <c r="AF207" s="176"/>
      <c r="AG207" s="176"/>
      <c r="AH207" s="176"/>
      <c r="AI207" s="176"/>
      <c r="AJ207" s="176"/>
      <c r="AK207" s="176"/>
      <c r="AL207" s="176"/>
      <c r="AM207" s="176"/>
      <c r="AN207" s="176"/>
      <c r="AO207" s="176"/>
      <c r="AP207" s="176"/>
      <c r="AQ207" s="176"/>
      <c r="AR207" s="176"/>
      <c r="AS207" s="176"/>
    </row>
    <row r="208" spans="1:45" s="7" customFormat="1" ht="24.95" customHeight="1" x14ac:dyDescent="0.25">
      <c r="A208" s="241"/>
      <c r="B208" s="242"/>
      <c r="C208" s="242"/>
      <c r="D208" s="242"/>
      <c r="E208" s="138" t="s">
        <v>244</v>
      </c>
      <c r="F208" s="138" t="s">
        <v>245</v>
      </c>
      <c r="G208" s="138" t="s">
        <v>246</v>
      </c>
      <c r="H208" s="177" t="s">
        <v>9</v>
      </c>
      <c r="I208" s="244"/>
      <c r="J208" s="245"/>
      <c r="K208" s="176"/>
      <c r="L208" s="176"/>
      <c r="M208" s="176"/>
      <c r="N208" s="176"/>
      <c r="O208" s="176"/>
      <c r="P208" s="176"/>
      <c r="Q208" s="176"/>
      <c r="R208" s="176"/>
      <c r="S208" s="176"/>
      <c r="T208" s="176"/>
      <c r="U208" s="176"/>
      <c r="V208" s="176"/>
      <c r="W208" s="176"/>
      <c r="X208" s="176"/>
      <c r="Y208" s="176"/>
      <c r="Z208" s="176"/>
      <c r="AA208" s="176"/>
      <c r="AB208" s="176"/>
      <c r="AC208" s="176"/>
      <c r="AD208" s="176"/>
      <c r="AE208" s="176"/>
      <c r="AF208" s="176"/>
      <c r="AG208" s="176"/>
      <c r="AH208" s="176"/>
      <c r="AI208" s="176"/>
      <c r="AJ208" s="176"/>
      <c r="AK208" s="176"/>
      <c r="AL208" s="176"/>
      <c r="AM208" s="176"/>
      <c r="AN208" s="176"/>
      <c r="AO208" s="176"/>
      <c r="AP208" s="176"/>
      <c r="AQ208" s="176"/>
      <c r="AR208" s="176"/>
      <c r="AS208" s="176"/>
    </row>
    <row r="209" spans="1:10" ht="24.95" customHeight="1" x14ac:dyDescent="0.2">
      <c r="A209" s="14"/>
      <c r="B209" s="317" t="s">
        <v>17</v>
      </c>
      <c r="C209" s="317"/>
      <c r="D209" s="317"/>
      <c r="E209" s="317"/>
      <c r="F209" s="317"/>
      <c r="G209" s="317"/>
      <c r="H209" s="317"/>
      <c r="I209" s="317"/>
      <c r="J209" s="317"/>
    </row>
    <row r="210" spans="1:10" ht="24.95" customHeight="1" x14ac:dyDescent="0.2">
      <c r="A210" s="15" t="s">
        <v>48</v>
      </c>
      <c r="B210" s="248" t="s">
        <v>30</v>
      </c>
      <c r="C210" s="257"/>
      <c r="D210" s="15" t="s">
        <v>11</v>
      </c>
      <c r="E210" s="28">
        <v>50</v>
      </c>
      <c r="F210" s="28">
        <v>68</v>
      </c>
      <c r="G210" s="28">
        <v>1009</v>
      </c>
      <c r="H210" s="28">
        <f>SUM(E210:G210)</f>
        <v>1127</v>
      </c>
      <c r="I210" s="227"/>
      <c r="J210" s="85">
        <f t="shared" ref="J210:J226" si="91">I210*H210</f>
        <v>0</v>
      </c>
    </row>
    <row r="211" spans="1:10" ht="24.95" customHeight="1" x14ac:dyDescent="0.2">
      <c r="A211" s="14" t="s">
        <v>26</v>
      </c>
      <c r="B211" s="334" t="s">
        <v>149</v>
      </c>
      <c r="C211" s="334"/>
      <c r="D211" s="14" t="s">
        <v>42</v>
      </c>
      <c r="E211" s="208">
        <f t="shared" ref="E211:F211" si="92">SUM(E210*0.0008)</f>
        <v>0.04</v>
      </c>
      <c r="F211" s="208">
        <f t="shared" si="92"/>
        <v>5.4400000000000004E-2</v>
      </c>
      <c r="G211" s="208">
        <f>SUM(G210*0.0008)</f>
        <v>0.80720000000000003</v>
      </c>
      <c r="H211" s="28">
        <f t="shared" ref="H211:H227" si="93">SUM(E211:G211)</f>
        <v>0.90160000000000007</v>
      </c>
      <c r="I211" s="229"/>
      <c r="J211" s="85">
        <f t="shared" si="91"/>
        <v>0</v>
      </c>
    </row>
    <row r="212" spans="1:10" ht="24.95" customHeight="1" x14ac:dyDescent="0.2">
      <c r="A212" s="14" t="s">
        <v>62</v>
      </c>
      <c r="B212" s="316" t="s">
        <v>90</v>
      </c>
      <c r="C212" s="248"/>
      <c r="D212" s="15" t="s">
        <v>11</v>
      </c>
      <c r="E212" s="28">
        <f t="shared" ref="E212:F212" si="94">SUM(E210)</f>
        <v>50</v>
      </c>
      <c r="F212" s="28">
        <f t="shared" si="94"/>
        <v>68</v>
      </c>
      <c r="G212" s="28">
        <f>SUM(G210)</f>
        <v>1009</v>
      </c>
      <c r="H212" s="28">
        <f t="shared" si="93"/>
        <v>1127</v>
      </c>
      <c r="I212" s="227"/>
      <c r="J212" s="85">
        <f t="shared" si="91"/>
        <v>0</v>
      </c>
    </row>
    <row r="213" spans="1:10" ht="24.95" customHeight="1" x14ac:dyDescent="0.2">
      <c r="A213" s="15" t="s">
        <v>83</v>
      </c>
      <c r="B213" s="348" t="s">
        <v>84</v>
      </c>
      <c r="C213" s="348"/>
      <c r="D213" s="21" t="s">
        <v>11</v>
      </c>
      <c r="E213" s="28">
        <f t="shared" ref="E213:F213" si="95">E210</f>
        <v>50</v>
      </c>
      <c r="F213" s="28">
        <f t="shared" si="95"/>
        <v>68</v>
      </c>
      <c r="G213" s="28">
        <f>G210</f>
        <v>1009</v>
      </c>
      <c r="H213" s="28">
        <f t="shared" si="93"/>
        <v>1127</v>
      </c>
      <c r="I213" s="227"/>
      <c r="J213" s="85">
        <f t="shared" si="91"/>
        <v>0</v>
      </c>
    </row>
    <row r="214" spans="1:10" ht="24.95" customHeight="1" x14ac:dyDescent="0.2">
      <c r="A214" s="15" t="s">
        <v>80</v>
      </c>
      <c r="B214" s="256" t="s">
        <v>81</v>
      </c>
      <c r="C214" s="256"/>
      <c r="D214" s="15" t="s">
        <v>11</v>
      </c>
      <c r="E214" s="28">
        <f t="shared" ref="E214:F214" si="96">SUM(E210)</f>
        <v>50</v>
      </c>
      <c r="F214" s="28">
        <f t="shared" si="96"/>
        <v>68</v>
      </c>
      <c r="G214" s="28">
        <f>SUM(G210)</f>
        <v>1009</v>
      </c>
      <c r="H214" s="28">
        <f t="shared" si="93"/>
        <v>1127</v>
      </c>
      <c r="I214" s="227"/>
      <c r="J214" s="85">
        <f t="shared" si="91"/>
        <v>0</v>
      </c>
    </row>
    <row r="215" spans="1:10" ht="24.95" customHeight="1" x14ac:dyDescent="0.2">
      <c r="A215" s="15" t="s">
        <v>31</v>
      </c>
      <c r="B215" s="256" t="s">
        <v>63</v>
      </c>
      <c r="C215" s="256"/>
      <c r="D215" s="15" t="s">
        <v>11</v>
      </c>
      <c r="E215" s="28">
        <f t="shared" ref="E215:F215" si="97">SUM(E210)</f>
        <v>50</v>
      </c>
      <c r="F215" s="28">
        <f t="shared" si="97"/>
        <v>68</v>
      </c>
      <c r="G215" s="28">
        <f>SUM(G210)</f>
        <v>1009</v>
      </c>
      <c r="H215" s="28">
        <f t="shared" si="93"/>
        <v>1127</v>
      </c>
      <c r="I215" s="227"/>
      <c r="J215" s="85">
        <f t="shared" si="91"/>
        <v>0</v>
      </c>
    </row>
    <row r="216" spans="1:10" ht="24.95" customHeight="1" x14ac:dyDescent="0.2">
      <c r="A216" s="14" t="s">
        <v>79</v>
      </c>
      <c r="B216" s="316" t="s">
        <v>160</v>
      </c>
      <c r="C216" s="248"/>
      <c r="D216" s="15" t="s">
        <v>12</v>
      </c>
      <c r="E216" s="54">
        <f t="shared" ref="E216:F216" si="98">0.01*E210</f>
        <v>0.5</v>
      </c>
      <c r="F216" s="54">
        <f t="shared" si="98"/>
        <v>0.68</v>
      </c>
      <c r="G216" s="54">
        <f>0.01*G210</f>
        <v>10.09</v>
      </c>
      <c r="H216" s="28">
        <f t="shared" si="93"/>
        <v>11.27</v>
      </c>
      <c r="I216" s="227"/>
      <c r="J216" s="85">
        <f t="shared" si="91"/>
        <v>0</v>
      </c>
    </row>
    <row r="217" spans="1:10" ht="24.95" customHeight="1" x14ac:dyDescent="0.2">
      <c r="A217" s="15" t="s">
        <v>26</v>
      </c>
      <c r="B217" s="314" t="s">
        <v>311</v>
      </c>
      <c r="C217" s="314"/>
      <c r="D217" s="35" t="s">
        <v>12</v>
      </c>
      <c r="E217" s="54">
        <f t="shared" ref="E217:F217" si="99">SUM(E210*0.05*1.2)</f>
        <v>3</v>
      </c>
      <c r="F217" s="54">
        <f t="shared" si="99"/>
        <v>4.08</v>
      </c>
      <c r="G217" s="54">
        <f>SUM(G210*0.05*1.2)</f>
        <v>60.54</v>
      </c>
      <c r="H217" s="28">
        <f t="shared" si="93"/>
        <v>67.62</v>
      </c>
      <c r="I217" s="230"/>
      <c r="J217" s="85">
        <f t="shared" si="91"/>
        <v>0</v>
      </c>
    </row>
    <row r="218" spans="1:10" ht="24.95" customHeight="1" x14ac:dyDescent="0.2">
      <c r="A218" s="15" t="s">
        <v>25</v>
      </c>
      <c r="B218" s="259" t="s">
        <v>82</v>
      </c>
      <c r="C218" s="259"/>
      <c r="D218" s="36" t="s">
        <v>12</v>
      </c>
      <c r="E218" s="54">
        <f t="shared" ref="E218:F218" si="100">SUM(E217)</f>
        <v>3</v>
      </c>
      <c r="F218" s="54">
        <f t="shared" si="100"/>
        <v>4.08</v>
      </c>
      <c r="G218" s="54">
        <f>SUM(G217)</f>
        <v>60.54</v>
      </c>
      <c r="H218" s="28">
        <f t="shared" si="93"/>
        <v>67.62</v>
      </c>
      <c r="I218" s="234"/>
      <c r="J218" s="85">
        <f t="shared" si="91"/>
        <v>0</v>
      </c>
    </row>
    <row r="219" spans="1:10" ht="24.95" customHeight="1" x14ac:dyDescent="0.2">
      <c r="A219" s="41" t="s">
        <v>85</v>
      </c>
      <c r="B219" s="257" t="s">
        <v>86</v>
      </c>
      <c r="C219" s="257"/>
      <c r="D219" s="31" t="s">
        <v>11</v>
      </c>
      <c r="E219" s="28">
        <f t="shared" ref="E219:F219" si="101">SUM(E210)</f>
        <v>50</v>
      </c>
      <c r="F219" s="28">
        <f t="shared" si="101"/>
        <v>68</v>
      </c>
      <c r="G219" s="28">
        <f>SUM(G210)</f>
        <v>1009</v>
      </c>
      <c r="H219" s="28">
        <f t="shared" si="93"/>
        <v>1127</v>
      </c>
      <c r="I219" s="230"/>
      <c r="J219" s="85">
        <f t="shared" si="91"/>
        <v>0</v>
      </c>
    </row>
    <row r="220" spans="1:10" ht="24.95" customHeight="1" x14ac:dyDescent="0.2">
      <c r="A220" s="15" t="s">
        <v>31</v>
      </c>
      <c r="B220" s="256" t="s">
        <v>63</v>
      </c>
      <c r="C220" s="256"/>
      <c r="D220" s="15" t="s">
        <v>11</v>
      </c>
      <c r="E220" s="28">
        <f t="shared" ref="E220:F220" si="102">SUM(E210)</f>
        <v>50</v>
      </c>
      <c r="F220" s="28">
        <f t="shared" si="102"/>
        <v>68</v>
      </c>
      <c r="G220" s="28">
        <f>SUM(G210)</f>
        <v>1009</v>
      </c>
      <c r="H220" s="28">
        <f t="shared" si="93"/>
        <v>1127</v>
      </c>
      <c r="I220" s="227"/>
      <c r="J220" s="85">
        <f t="shared" si="91"/>
        <v>0</v>
      </c>
    </row>
    <row r="221" spans="1:10" ht="24.95" customHeight="1" x14ac:dyDescent="0.2">
      <c r="A221" s="52" t="s">
        <v>133</v>
      </c>
      <c r="B221" s="315" t="s">
        <v>132</v>
      </c>
      <c r="C221" s="249"/>
      <c r="D221" s="52" t="s">
        <v>11</v>
      </c>
      <c r="E221" s="209">
        <f t="shared" ref="E221:F221" si="103">SUM(E210)</f>
        <v>50</v>
      </c>
      <c r="F221" s="209">
        <f t="shared" si="103"/>
        <v>68</v>
      </c>
      <c r="G221" s="209">
        <f>SUM(G210)</f>
        <v>1009</v>
      </c>
      <c r="H221" s="28">
        <f t="shared" si="93"/>
        <v>1127</v>
      </c>
      <c r="I221" s="235"/>
      <c r="J221" s="85">
        <f t="shared" si="91"/>
        <v>0</v>
      </c>
    </row>
    <row r="222" spans="1:10" ht="24.95" customHeight="1" x14ac:dyDescent="0.2">
      <c r="A222" s="15" t="s">
        <v>26</v>
      </c>
      <c r="B222" s="249" t="s">
        <v>93</v>
      </c>
      <c r="C222" s="249"/>
      <c r="D222" s="15" t="s">
        <v>15</v>
      </c>
      <c r="E222" s="42">
        <f t="shared" ref="E222:F222" si="104">SUM(E221*250/10000)</f>
        <v>1.25</v>
      </c>
      <c r="F222" s="42">
        <f t="shared" si="104"/>
        <v>1.7</v>
      </c>
      <c r="G222" s="42">
        <f>SUM(G221*250/10000)</f>
        <v>25.225000000000001</v>
      </c>
      <c r="H222" s="28">
        <f t="shared" si="93"/>
        <v>28.175000000000001</v>
      </c>
      <c r="I222" s="227"/>
      <c r="J222" s="85">
        <f t="shared" si="91"/>
        <v>0</v>
      </c>
    </row>
    <row r="223" spans="1:10" ht="24.95" customHeight="1" x14ac:dyDescent="0.2">
      <c r="A223" s="15" t="s">
        <v>29</v>
      </c>
      <c r="B223" s="258" t="s">
        <v>20</v>
      </c>
      <c r="C223" s="258"/>
      <c r="D223" s="15" t="s">
        <v>21</v>
      </c>
      <c r="E223" s="200">
        <f t="shared" ref="E223:F223" si="105">SUM(E224*0.001)</f>
        <v>1.5E-3</v>
      </c>
      <c r="F223" s="200">
        <f t="shared" si="105"/>
        <v>2.0400000000000001E-3</v>
      </c>
      <c r="G223" s="200">
        <f>SUM(G224*0.001)</f>
        <v>3.0270000000000002E-2</v>
      </c>
      <c r="H223" s="28">
        <f t="shared" si="93"/>
        <v>3.381E-2</v>
      </c>
      <c r="I223" s="233"/>
      <c r="J223" s="85">
        <f t="shared" si="91"/>
        <v>0</v>
      </c>
    </row>
    <row r="224" spans="1:10" ht="24.95" customHeight="1" x14ac:dyDescent="0.2">
      <c r="A224" s="52" t="s">
        <v>26</v>
      </c>
      <c r="B224" s="249" t="s">
        <v>94</v>
      </c>
      <c r="C224" s="249"/>
      <c r="D224" s="52" t="s">
        <v>15</v>
      </c>
      <c r="E224" s="209">
        <f t="shared" ref="E224:F224" si="106">SUM(E221*0.03)</f>
        <v>1.5</v>
      </c>
      <c r="F224" s="209">
        <f t="shared" si="106"/>
        <v>2.04</v>
      </c>
      <c r="G224" s="209">
        <f>SUM(G221*0.03)</f>
        <v>30.27</v>
      </c>
      <c r="H224" s="28">
        <f t="shared" si="93"/>
        <v>33.81</v>
      </c>
      <c r="I224" s="235"/>
      <c r="J224" s="85">
        <f t="shared" si="91"/>
        <v>0</v>
      </c>
    </row>
    <row r="225" spans="1:45" ht="24.95" customHeight="1" x14ac:dyDescent="0.2">
      <c r="A225" s="52" t="s">
        <v>61</v>
      </c>
      <c r="B225" s="248" t="s">
        <v>87</v>
      </c>
      <c r="C225" s="248"/>
      <c r="D225" s="52" t="s">
        <v>11</v>
      </c>
      <c r="E225" s="209">
        <f t="shared" ref="E225:F225" si="107">SUM(E221*3)</f>
        <v>150</v>
      </c>
      <c r="F225" s="209">
        <f t="shared" si="107"/>
        <v>204</v>
      </c>
      <c r="G225" s="209">
        <f>SUM(G221*3)</f>
        <v>3027</v>
      </c>
      <c r="H225" s="28">
        <f t="shared" si="93"/>
        <v>3381</v>
      </c>
      <c r="I225" s="235"/>
      <c r="J225" s="85">
        <f t="shared" si="91"/>
        <v>0</v>
      </c>
    </row>
    <row r="226" spans="1:45" s="108" customFormat="1" ht="24.95" customHeight="1" x14ac:dyDescent="0.2">
      <c r="A226" s="107" t="s">
        <v>25</v>
      </c>
      <c r="B226" s="246" t="s">
        <v>234</v>
      </c>
      <c r="C226" s="247"/>
      <c r="D226" s="107" t="s">
        <v>21</v>
      </c>
      <c r="E226" s="79">
        <f t="shared" ref="E226:F226" si="108">E210*0.001</f>
        <v>0.05</v>
      </c>
      <c r="F226" s="79">
        <f t="shared" si="108"/>
        <v>6.8000000000000005E-2</v>
      </c>
      <c r="G226" s="79">
        <f>G210*0.001</f>
        <v>1.0090000000000001</v>
      </c>
      <c r="H226" s="28">
        <f t="shared" si="93"/>
        <v>1.1270000000000002</v>
      </c>
      <c r="I226" s="227"/>
      <c r="J226" s="196">
        <f t="shared" si="91"/>
        <v>0</v>
      </c>
      <c r="K226" s="176"/>
      <c r="L226" s="176"/>
      <c r="M226" s="176"/>
      <c r="N226" s="176"/>
      <c r="O226" s="176"/>
      <c r="P226" s="176"/>
      <c r="Q226" s="176"/>
      <c r="R226" s="176"/>
      <c r="S226" s="176"/>
      <c r="T226" s="176"/>
      <c r="U226" s="176"/>
      <c r="V226" s="176"/>
      <c r="W226" s="176"/>
      <c r="X226" s="176"/>
      <c r="Y226" s="176"/>
      <c r="Z226" s="176"/>
      <c r="AA226" s="176"/>
      <c r="AB226" s="176"/>
      <c r="AC226" s="176"/>
      <c r="AD226" s="176"/>
      <c r="AE226" s="176"/>
      <c r="AF226" s="176"/>
      <c r="AG226" s="176"/>
      <c r="AH226" s="176"/>
      <c r="AI226" s="176"/>
      <c r="AJ226" s="176"/>
      <c r="AK226" s="176"/>
      <c r="AL226" s="176"/>
      <c r="AM226" s="176"/>
      <c r="AN226" s="176"/>
      <c r="AO226" s="176"/>
      <c r="AP226" s="176"/>
      <c r="AQ226" s="176"/>
      <c r="AR226" s="176"/>
      <c r="AS226" s="176"/>
    </row>
    <row r="227" spans="1:45" s="108" customFormat="1" ht="24.95" customHeight="1" x14ac:dyDescent="0.2">
      <c r="A227" s="107" t="s">
        <v>236</v>
      </c>
      <c r="B227" s="246" t="s">
        <v>235</v>
      </c>
      <c r="C227" s="246"/>
      <c r="D227" s="107" t="s">
        <v>21</v>
      </c>
      <c r="E227" s="68">
        <f t="shared" ref="E227:F227" si="109">(E217*0.8)+E222+E224</f>
        <v>5.15</v>
      </c>
      <c r="F227" s="68">
        <f t="shared" si="109"/>
        <v>7.0040000000000004</v>
      </c>
      <c r="G227" s="68">
        <f>(G217*0.8)+G222+G224</f>
        <v>103.92700000000001</v>
      </c>
      <c r="H227" s="28">
        <f t="shared" si="93"/>
        <v>116.081</v>
      </c>
      <c r="I227" s="227"/>
      <c r="J227" s="196">
        <f t="shared" ref="J227" si="110">H227*I227</f>
        <v>0</v>
      </c>
      <c r="K227" s="176"/>
      <c r="L227" s="176"/>
      <c r="M227" s="176"/>
      <c r="N227" s="176"/>
      <c r="O227" s="176"/>
      <c r="P227" s="176"/>
      <c r="Q227" s="176"/>
      <c r="R227" s="176"/>
      <c r="S227" s="176"/>
      <c r="T227" s="176"/>
      <c r="U227" s="176"/>
      <c r="V227" s="176"/>
      <c r="W227" s="176"/>
      <c r="X227" s="176"/>
      <c r="Y227" s="176"/>
      <c r="Z227" s="176"/>
      <c r="AA227" s="176"/>
      <c r="AB227" s="176"/>
      <c r="AC227" s="176"/>
      <c r="AD227" s="176"/>
      <c r="AE227" s="176"/>
      <c r="AF227" s="176"/>
      <c r="AG227" s="176"/>
      <c r="AH227" s="176"/>
      <c r="AI227" s="176"/>
      <c r="AJ227" s="176"/>
      <c r="AK227" s="176"/>
      <c r="AL227" s="176"/>
      <c r="AM227" s="176"/>
      <c r="AN227" s="176"/>
      <c r="AO227" s="176"/>
      <c r="AP227" s="176"/>
      <c r="AQ227" s="176"/>
      <c r="AR227" s="176"/>
      <c r="AS227" s="176"/>
    </row>
    <row r="228" spans="1:45" s="6" customFormat="1" ht="24.95" customHeight="1" x14ac:dyDescent="0.2">
      <c r="A228" s="210"/>
      <c r="B228" s="336" t="s">
        <v>18</v>
      </c>
      <c r="C228" s="336"/>
      <c r="D228" s="55"/>
      <c r="E228" s="55"/>
      <c r="F228" s="55"/>
      <c r="G228" s="55"/>
      <c r="H228" s="206"/>
      <c r="I228" s="207"/>
      <c r="J228" s="88">
        <f>SUM(J210:J227)</f>
        <v>0</v>
      </c>
      <c r="K228" s="176"/>
      <c r="L228" s="176"/>
      <c r="M228" s="176"/>
      <c r="N228" s="176"/>
      <c r="O228" s="176"/>
      <c r="P228" s="176"/>
      <c r="Q228" s="176"/>
      <c r="R228" s="176"/>
      <c r="S228" s="176"/>
      <c r="T228" s="176"/>
      <c r="U228" s="176"/>
      <c r="V228" s="176"/>
      <c r="W228" s="176"/>
      <c r="X228" s="176"/>
      <c r="Y228" s="176"/>
      <c r="Z228" s="176"/>
      <c r="AA228" s="176"/>
      <c r="AB228" s="176"/>
      <c r="AC228" s="176"/>
      <c r="AD228" s="176"/>
      <c r="AE228" s="176"/>
      <c r="AF228" s="176"/>
      <c r="AG228" s="176"/>
      <c r="AH228" s="176"/>
      <c r="AI228" s="176"/>
      <c r="AJ228" s="176"/>
      <c r="AK228" s="176"/>
      <c r="AL228" s="176"/>
      <c r="AM228" s="176"/>
      <c r="AN228" s="176"/>
      <c r="AO228" s="176"/>
      <c r="AP228" s="176"/>
      <c r="AQ228" s="176"/>
      <c r="AR228" s="176"/>
      <c r="AS228" s="176"/>
    </row>
    <row r="229" spans="1:45" s="48" customFormat="1" ht="24.95" customHeight="1" x14ac:dyDescent="0.25">
      <c r="A229" s="241"/>
      <c r="B229" s="242" t="s">
        <v>8</v>
      </c>
      <c r="C229" s="242"/>
      <c r="D229" s="242" t="s">
        <v>186</v>
      </c>
      <c r="E229" s="243" t="s">
        <v>100</v>
      </c>
      <c r="F229" s="243"/>
      <c r="G229" s="243"/>
      <c r="H229" s="243"/>
      <c r="I229" s="244" t="s">
        <v>4</v>
      </c>
      <c r="J229" s="245" t="s">
        <v>101</v>
      </c>
      <c r="K229" s="176"/>
      <c r="L229" s="176"/>
      <c r="M229" s="176"/>
      <c r="N229" s="176"/>
      <c r="O229" s="176"/>
      <c r="P229" s="176"/>
      <c r="Q229" s="176"/>
      <c r="R229" s="176"/>
      <c r="S229" s="176"/>
      <c r="T229" s="176"/>
      <c r="U229" s="176"/>
      <c r="V229" s="176"/>
      <c r="W229" s="176"/>
      <c r="X229" s="176"/>
      <c r="Y229" s="176"/>
      <c r="Z229" s="176"/>
      <c r="AA229" s="176"/>
      <c r="AB229" s="176"/>
      <c r="AC229" s="176"/>
      <c r="AD229" s="176"/>
      <c r="AE229" s="176"/>
      <c r="AF229" s="176"/>
      <c r="AG229" s="176"/>
      <c r="AH229" s="176"/>
      <c r="AI229" s="176"/>
      <c r="AJ229" s="176"/>
      <c r="AK229" s="176"/>
      <c r="AL229" s="176"/>
      <c r="AM229" s="176"/>
      <c r="AN229" s="176"/>
      <c r="AO229" s="176"/>
      <c r="AP229" s="176"/>
      <c r="AQ229" s="176"/>
      <c r="AR229" s="176"/>
      <c r="AS229" s="176"/>
    </row>
    <row r="230" spans="1:45" s="7" customFormat="1" ht="24.95" customHeight="1" x14ac:dyDescent="0.25">
      <c r="A230" s="241"/>
      <c r="B230" s="242"/>
      <c r="C230" s="242"/>
      <c r="D230" s="242"/>
      <c r="E230" s="138" t="s">
        <v>244</v>
      </c>
      <c r="F230" s="138" t="s">
        <v>245</v>
      </c>
      <c r="G230" s="138" t="s">
        <v>246</v>
      </c>
      <c r="H230" s="177" t="s">
        <v>9</v>
      </c>
      <c r="I230" s="244"/>
      <c r="J230" s="245"/>
      <c r="K230" s="176"/>
      <c r="L230" s="176"/>
      <c r="M230" s="176"/>
      <c r="N230" s="176"/>
      <c r="O230" s="176"/>
      <c r="P230" s="176"/>
      <c r="Q230" s="176"/>
      <c r="R230" s="176"/>
      <c r="S230" s="176"/>
      <c r="T230" s="176"/>
      <c r="U230" s="176"/>
      <c r="V230" s="176"/>
      <c r="W230" s="176"/>
      <c r="X230" s="176"/>
      <c r="Y230" s="176"/>
      <c r="Z230" s="176"/>
      <c r="AA230" s="176"/>
      <c r="AB230" s="176"/>
      <c r="AC230" s="176"/>
      <c r="AD230" s="176"/>
      <c r="AE230" s="176"/>
      <c r="AF230" s="176"/>
      <c r="AG230" s="176"/>
      <c r="AH230" s="176"/>
      <c r="AI230" s="176"/>
      <c r="AJ230" s="176"/>
      <c r="AK230" s="176"/>
      <c r="AL230" s="176"/>
      <c r="AM230" s="176"/>
      <c r="AN230" s="176"/>
      <c r="AO230" s="176"/>
      <c r="AP230" s="176"/>
      <c r="AQ230" s="176"/>
      <c r="AR230" s="176"/>
      <c r="AS230" s="176"/>
    </row>
    <row r="231" spans="1:45" ht="24.95" customHeight="1" x14ac:dyDescent="0.2">
      <c r="A231" s="52"/>
      <c r="B231" s="317" t="s">
        <v>155</v>
      </c>
      <c r="C231" s="317"/>
      <c r="D231" s="317"/>
      <c r="E231" s="317"/>
      <c r="F231" s="317"/>
      <c r="G231" s="317"/>
      <c r="H231" s="317"/>
      <c r="I231" s="317"/>
      <c r="J231" s="317"/>
    </row>
    <row r="232" spans="1:45" ht="24.95" customHeight="1" x14ac:dyDescent="0.2">
      <c r="A232" s="15" t="s">
        <v>48</v>
      </c>
      <c r="B232" s="248" t="s">
        <v>30</v>
      </c>
      <c r="C232" s="257"/>
      <c r="D232" s="15" t="s">
        <v>11</v>
      </c>
      <c r="E232" s="28">
        <v>0</v>
      </c>
      <c r="F232" s="28">
        <v>590</v>
      </c>
      <c r="G232" s="28">
        <v>0</v>
      </c>
      <c r="H232" s="28">
        <f>SUM(E232:G232)</f>
        <v>590</v>
      </c>
      <c r="I232" s="227"/>
      <c r="J232" s="85">
        <f t="shared" ref="J232:J246" si="111">I232*H232</f>
        <v>0</v>
      </c>
    </row>
    <row r="233" spans="1:45" ht="24.95" customHeight="1" x14ac:dyDescent="0.2">
      <c r="A233" s="15" t="s">
        <v>26</v>
      </c>
      <c r="B233" s="248" t="s">
        <v>91</v>
      </c>
      <c r="C233" s="248"/>
      <c r="D233" s="15" t="s">
        <v>42</v>
      </c>
      <c r="E233" s="42">
        <f t="shared" ref="E233:F233" si="112">SUM(E232*0.0008)</f>
        <v>0</v>
      </c>
      <c r="F233" s="42">
        <f t="shared" si="112"/>
        <v>0.47200000000000003</v>
      </c>
      <c r="G233" s="42">
        <f>SUM(G232*0.0008)</f>
        <v>0</v>
      </c>
      <c r="H233" s="28">
        <f t="shared" ref="H233:H247" si="113">SUM(E233:G233)</f>
        <v>0.47200000000000003</v>
      </c>
      <c r="I233" s="227"/>
      <c r="J233" s="85">
        <f t="shared" si="111"/>
        <v>0</v>
      </c>
    </row>
    <row r="234" spans="1:45" ht="24.95" customHeight="1" x14ac:dyDescent="0.2">
      <c r="A234" s="15" t="s">
        <v>62</v>
      </c>
      <c r="B234" s="248" t="s">
        <v>90</v>
      </c>
      <c r="C234" s="248"/>
      <c r="D234" s="15" t="s">
        <v>11</v>
      </c>
      <c r="E234" s="28">
        <f t="shared" ref="E234:F234" si="114">SUM(E232)</f>
        <v>0</v>
      </c>
      <c r="F234" s="28">
        <f t="shared" si="114"/>
        <v>590</v>
      </c>
      <c r="G234" s="28">
        <f>SUM(G232)</f>
        <v>0</v>
      </c>
      <c r="H234" s="28">
        <f t="shared" si="113"/>
        <v>590</v>
      </c>
      <c r="I234" s="227"/>
      <c r="J234" s="85">
        <f t="shared" si="111"/>
        <v>0</v>
      </c>
    </row>
    <row r="235" spans="1:45" ht="24.95" customHeight="1" x14ac:dyDescent="0.2">
      <c r="A235" s="15" t="s">
        <v>80</v>
      </c>
      <c r="B235" s="128" t="s">
        <v>81</v>
      </c>
      <c r="C235" s="128"/>
      <c r="D235" s="15" t="s">
        <v>11</v>
      </c>
      <c r="E235" s="28">
        <f t="shared" ref="E235:F235" si="115">SUM(E232)</f>
        <v>0</v>
      </c>
      <c r="F235" s="28">
        <f t="shared" si="115"/>
        <v>590</v>
      </c>
      <c r="G235" s="28">
        <f>SUM(G232)</f>
        <v>0</v>
      </c>
      <c r="H235" s="28">
        <f t="shared" si="113"/>
        <v>590</v>
      </c>
      <c r="I235" s="227"/>
      <c r="J235" s="85">
        <f t="shared" si="111"/>
        <v>0</v>
      </c>
    </row>
    <row r="236" spans="1:45" ht="24.95" customHeight="1" x14ac:dyDescent="0.2">
      <c r="A236" s="15" t="s">
        <v>31</v>
      </c>
      <c r="B236" s="256" t="s">
        <v>63</v>
      </c>
      <c r="C236" s="256"/>
      <c r="D236" s="15" t="s">
        <v>11</v>
      </c>
      <c r="E236" s="28">
        <f t="shared" ref="E236:F236" si="116">SUM(E232)</f>
        <v>0</v>
      </c>
      <c r="F236" s="28">
        <f t="shared" si="116"/>
        <v>590</v>
      </c>
      <c r="G236" s="28">
        <f>SUM(G232)</f>
        <v>0</v>
      </c>
      <c r="H236" s="28">
        <f t="shared" si="113"/>
        <v>590</v>
      </c>
      <c r="I236" s="227"/>
      <c r="J236" s="85">
        <f t="shared" si="111"/>
        <v>0</v>
      </c>
    </row>
    <row r="237" spans="1:45" ht="24.95" customHeight="1" x14ac:dyDescent="0.2">
      <c r="A237" s="15" t="s">
        <v>79</v>
      </c>
      <c r="B237" s="248" t="s">
        <v>160</v>
      </c>
      <c r="C237" s="248"/>
      <c r="D237" s="15" t="s">
        <v>12</v>
      </c>
      <c r="E237" s="54">
        <f t="shared" ref="E237:F237" si="117">E232*0.01</f>
        <v>0</v>
      </c>
      <c r="F237" s="54">
        <f t="shared" si="117"/>
        <v>5.9</v>
      </c>
      <c r="G237" s="54">
        <f>G232*0.01</f>
        <v>0</v>
      </c>
      <c r="H237" s="28">
        <f t="shared" si="113"/>
        <v>5.9</v>
      </c>
      <c r="I237" s="227"/>
      <c r="J237" s="85">
        <f t="shared" si="111"/>
        <v>0</v>
      </c>
    </row>
    <row r="238" spans="1:45" ht="24.95" customHeight="1" x14ac:dyDescent="0.2">
      <c r="A238" s="15" t="s">
        <v>26</v>
      </c>
      <c r="B238" s="346" t="s">
        <v>312</v>
      </c>
      <c r="C238" s="346"/>
      <c r="D238" s="35" t="s">
        <v>12</v>
      </c>
      <c r="E238" s="54">
        <f t="shared" ref="E238" si="118">SUM(E232*0.05*1.2)</f>
        <v>0</v>
      </c>
      <c r="F238" s="54">
        <f>SUM(F232*0.1*1.2)</f>
        <v>70.8</v>
      </c>
      <c r="G238" s="54">
        <f>SUM(G232*0.05*1.2)</f>
        <v>0</v>
      </c>
      <c r="H238" s="28">
        <f t="shared" si="113"/>
        <v>70.8</v>
      </c>
      <c r="I238" s="230"/>
      <c r="J238" s="85">
        <f t="shared" si="111"/>
        <v>0</v>
      </c>
    </row>
    <row r="239" spans="1:45" ht="24.95" customHeight="1" x14ac:dyDescent="0.2">
      <c r="A239" s="41" t="s">
        <v>85</v>
      </c>
      <c r="B239" s="257" t="s">
        <v>86</v>
      </c>
      <c r="C239" s="257"/>
      <c r="D239" s="31" t="s">
        <v>11</v>
      </c>
      <c r="E239" s="28">
        <f t="shared" ref="E239:F239" si="119">SUM(E232)</f>
        <v>0</v>
      </c>
      <c r="F239" s="28">
        <f t="shared" si="119"/>
        <v>590</v>
      </c>
      <c r="G239" s="28">
        <f>SUM(G232)</f>
        <v>0</v>
      </c>
      <c r="H239" s="28">
        <f t="shared" si="113"/>
        <v>590</v>
      </c>
      <c r="I239" s="230"/>
      <c r="J239" s="85">
        <f t="shared" si="111"/>
        <v>0</v>
      </c>
    </row>
    <row r="240" spans="1:45" ht="24.95" customHeight="1" x14ac:dyDescent="0.2">
      <c r="A240" s="52" t="s">
        <v>162</v>
      </c>
      <c r="B240" s="249" t="s">
        <v>161</v>
      </c>
      <c r="C240" s="249"/>
      <c r="D240" s="52" t="s">
        <v>11</v>
      </c>
      <c r="E240" s="28">
        <f t="shared" ref="E240:F240" si="120">SUM(E232)</f>
        <v>0</v>
      </c>
      <c r="F240" s="28">
        <f t="shared" si="120"/>
        <v>590</v>
      </c>
      <c r="G240" s="28">
        <f>SUM(G232)</f>
        <v>0</v>
      </c>
      <c r="H240" s="28">
        <f t="shared" si="113"/>
        <v>590</v>
      </c>
      <c r="I240" s="235"/>
      <c r="J240" s="85">
        <f t="shared" si="111"/>
        <v>0</v>
      </c>
    </row>
    <row r="241" spans="1:46" ht="24.95" customHeight="1" x14ac:dyDescent="0.2">
      <c r="A241" s="15" t="s">
        <v>26</v>
      </c>
      <c r="B241" s="249" t="s">
        <v>243</v>
      </c>
      <c r="C241" s="249"/>
      <c r="D241" s="15" t="s">
        <v>15</v>
      </c>
      <c r="E241" s="211">
        <f t="shared" ref="E241" si="121">0*0.006</f>
        <v>0</v>
      </c>
      <c r="F241" s="211">
        <f>590*0.012</f>
        <v>7.08</v>
      </c>
      <c r="G241" s="211">
        <f>0*0.006</f>
        <v>0</v>
      </c>
      <c r="H241" s="28">
        <f t="shared" si="113"/>
        <v>7.08</v>
      </c>
      <c r="I241" s="233"/>
      <c r="J241" s="85">
        <f t="shared" si="111"/>
        <v>0</v>
      </c>
    </row>
    <row r="242" spans="1:46" ht="24.95" customHeight="1" x14ac:dyDescent="0.2">
      <c r="A242" s="52" t="s">
        <v>152</v>
      </c>
      <c r="B242" s="248" t="s">
        <v>153</v>
      </c>
      <c r="C242" s="248"/>
      <c r="D242" s="52" t="s">
        <v>11</v>
      </c>
      <c r="E242" s="28">
        <f t="shared" ref="E242:F242" si="122">SUM(E232)</f>
        <v>0</v>
      </c>
      <c r="F242" s="28">
        <f t="shared" si="122"/>
        <v>590</v>
      </c>
      <c r="G242" s="28">
        <f>SUM(G232)</f>
        <v>0</v>
      </c>
      <c r="H242" s="28">
        <f t="shared" si="113"/>
        <v>590</v>
      </c>
      <c r="I242" s="235"/>
      <c r="J242" s="85">
        <f t="shared" si="111"/>
        <v>0</v>
      </c>
    </row>
    <row r="243" spans="1:46" ht="32.25" customHeight="1" x14ac:dyDescent="0.2">
      <c r="A243" s="15" t="s">
        <v>163</v>
      </c>
      <c r="B243" s="248" t="s">
        <v>313</v>
      </c>
      <c r="C243" s="257"/>
      <c r="D243" s="15" t="s">
        <v>11</v>
      </c>
      <c r="E243" s="28">
        <v>0</v>
      </c>
      <c r="F243" s="28">
        <v>590</v>
      </c>
      <c r="G243" s="28">
        <v>0</v>
      </c>
      <c r="H243" s="28">
        <f t="shared" si="113"/>
        <v>590</v>
      </c>
      <c r="I243" s="227"/>
      <c r="J243" s="85">
        <f t="shared" si="111"/>
        <v>0</v>
      </c>
    </row>
    <row r="244" spans="1:46" ht="24.95" customHeight="1" x14ac:dyDescent="0.2">
      <c r="A244" s="52" t="s">
        <v>26</v>
      </c>
      <c r="B244" s="248" t="s">
        <v>314</v>
      </c>
      <c r="C244" s="248"/>
      <c r="D244" s="15" t="s">
        <v>15</v>
      </c>
      <c r="E244" s="28">
        <f t="shared" ref="E244:F244" si="123">SUM(E242*250/10000)</f>
        <v>0</v>
      </c>
      <c r="F244" s="28">
        <f t="shared" si="123"/>
        <v>14.75</v>
      </c>
      <c r="G244" s="28">
        <f>SUM(G242*250/10000)</f>
        <v>0</v>
      </c>
      <c r="H244" s="28">
        <f t="shared" si="113"/>
        <v>14.75</v>
      </c>
      <c r="I244" s="227"/>
      <c r="J244" s="85">
        <f t="shared" si="111"/>
        <v>0</v>
      </c>
    </row>
    <row r="245" spans="1:46" ht="24.95" customHeight="1" x14ac:dyDescent="0.2">
      <c r="A245" s="52" t="s">
        <v>167</v>
      </c>
      <c r="B245" s="248" t="s">
        <v>166</v>
      </c>
      <c r="C245" s="248"/>
      <c r="D245" s="52" t="s">
        <v>11</v>
      </c>
      <c r="E245" s="209">
        <f t="shared" ref="E245:F245" si="124">SUM(E232)</f>
        <v>0</v>
      </c>
      <c r="F245" s="209">
        <f t="shared" si="124"/>
        <v>590</v>
      </c>
      <c r="G245" s="209">
        <f>SUM(G232)</f>
        <v>0</v>
      </c>
      <c r="H245" s="28">
        <f t="shared" si="113"/>
        <v>590</v>
      </c>
      <c r="I245" s="235"/>
      <c r="J245" s="85">
        <f t="shared" si="111"/>
        <v>0</v>
      </c>
    </row>
    <row r="246" spans="1:46" s="108" customFormat="1" ht="24.95" customHeight="1" x14ac:dyDescent="0.2">
      <c r="A246" s="68" t="s">
        <v>25</v>
      </c>
      <c r="B246" s="247" t="s">
        <v>234</v>
      </c>
      <c r="C246" s="247"/>
      <c r="D246" s="68" t="s">
        <v>21</v>
      </c>
      <c r="E246" s="79">
        <f t="shared" ref="E246:F246" si="125">E232*0.001</f>
        <v>0</v>
      </c>
      <c r="F246" s="79">
        <f t="shared" si="125"/>
        <v>0.59</v>
      </c>
      <c r="G246" s="79">
        <f>G232*0.001</f>
        <v>0</v>
      </c>
      <c r="H246" s="28">
        <f t="shared" si="113"/>
        <v>0.59</v>
      </c>
      <c r="I246" s="227"/>
      <c r="J246" s="196">
        <f t="shared" si="111"/>
        <v>0</v>
      </c>
      <c r="K246" s="176"/>
      <c r="L246" s="176"/>
      <c r="M246" s="176"/>
      <c r="N246" s="176"/>
      <c r="O246" s="176"/>
      <c r="P246" s="176"/>
      <c r="Q246" s="176"/>
      <c r="R246" s="176"/>
      <c r="S246" s="176"/>
      <c r="T246" s="176"/>
      <c r="U246" s="176"/>
      <c r="V246" s="176"/>
      <c r="W246" s="176"/>
      <c r="X246" s="176"/>
      <c r="Y246" s="176"/>
      <c r="Z246" s="176"/>
      <c r="AA246" s="176"/>
      <c r="AB246" s="176"/>
      <c r="AC246" s="176"/>
      <c r="AD246" s="176"/>
      <c r="AE246" s="176"/>
      <c r="AF246" s="176"/>
      <c r="AG246" s="176"/>
      <c r="AH246" s="176"/>
      <c r="AI246" s="176"/>
      <c r="AJ246" s="176"/>
      <c r="AK246" s="176"/>
      <c r="AL246" s="176"/>
      <c r="AM246" s="176"/>
      <c r="AN246" s="176"/>
      <c r="AO246" s="176"/>
      <c r="AP246" s="176"/>
      <c r="AQ246" s="176"/>
      <c r="AR246" s="176"/>
      <c r="AS246" s="176"/>
    </row>
    <row r="247" spans="1:46" s="108" customFormat="1" ht="24.95" customHeight="1" x14ac:dyDescent="0.2">
      <c r="A247" s="68" t="s">
        <v>236</v>
      </c>
      <c r="B247" s="247" t="s">
        <v>235</v>
      </c>
      <c r="C247" s="247"/>
      <c r="D247" s="68" t="s">
        <v>21</v>
      </c>
      <c r="E247" s="68">
        <v>0</v>
      </c>
      <c r="F247" s="201">
        <f>(F238*0.8)+(F241*0.001)</f>
        <v>56.647080000000003</v>
      </c>
      <c r="G247" s="68">
        <v>0</v>
      </c>
      <c r="H247" s="28">
        <f t="shared" si="113"/>
        <v>56.647080000000003</v>
      </c>
      <c r="I247" s="227"/>
      <c r="J247" s="196">
        <f t="shared" ref="J247" si="126">H247*I247</f>
        <v>0</v>
      </c>
      <c r="K247" s="176"/>
      <c r="L247" s="176"/>
      <c r="M247" s="176"/>
      <c r="N247" s="176"/>
      <c r="O247" s="176"/>
      <c r="P247" s="176"/>
      <c r="Q247" s="176"/>
      <c r="R247" s="176"/>
      <c r="S247" s="176"/>
      <c r="T247" s="176"/>
      <c r="U247" s="176"/>
      <c r="V247" s="176"/>
      <c r="W247" s="176"/>
      <c r="X247" s="176"/>
      <c r="Y247" s="176"/>
      <c r="Z247" s="176"/>
      <c r="AA247" s="176"/>
      <c r="AB247" s="176"/>
      <c r="AC247" s="176"/>
      <c r="AD247" s="176"/>
      <c r="AE247" s="176"/>
      <c r="AF247" s="176"/>
      <c r="AG247" s="176"/>
      <c r="AH247" s="176"/>
      <c r="AI247" s="176"/>
      <c r="AJ247" s="176"/>
      <c r="AK247" s="176"/>
      <c r="AL247" s="176"/>
      <c r="AM247" s="176"/>
      <c r="AN247" s="176"/>
      <c r="AO247" s="176"/>
      <c r="AP247" s="176"/>
      <c r="AQ247" s="176"/>
      <c r="AR247" s="176"/>
      <c r="AS247" s="176"/>
    </row>
    <row r="248" spans="1:46" ht="24.95" customHeight="1" x14ac:dyDescent="0.2">
      <c r="A248" s="52"/>
      <c r="B248" s="347" t="s">
        <v>154</v>
      </c>
      <c r="C248" s="347"/>
      <c r="D248" s="55"/>
      <c r="E248" s="55"/>
      <c r="F248" s="55"/>
      <c r="G248" s="38"/>
      <c r="H248" s="57"/>
      <c r="I248" s="39"/>
      <c r="J248" s="88">
        <f>SUM(J232:J247)</f>
        <v>0</v>
      </c>
    </row>
    <row r="249" spans="1:46" s="74" customFormat="1" ht="35.1" customHeight="1" x14ac:dyDescent="0.25">
      <c r="A249" s="73"/>
      <c r="B249" s="328" t="s">
        <v>315</v>
      </c>
      <c r="C249" s="328"/>
      <c r="D249" s="328"/>
      <c r="E249" s="328"/>
      <c r="F249" s="328"/>
      <c r="G249" s="328"/>
      <c r="H249" s="328"/>
      <c r="I249" s="328"/>
      <c r="J249" s="89">
        <f>SUM(J248,J228,J206,J181,J171,J141,J123,J113)</f>
        <v>0</v>
      </c>
      <c r="K249" s="176"/>
      <c r="L249" s="176"/>
      <c r="M249" s="176"/>
      <c r="N249" s="176"/>
      <c r="O249" s="176"/>
      <c r="P249" s="176"/>
      <c r="Q249" s="176"/>
      <c r="R249" s="176"/>
      <c r="S249" s="176"/>
      <c r="T249" s="176"/>
      <c r="U249" s="176"/>
      <c r="V249" s="176"/>
      <c r="W249" s="176"/>
      <c r="X249" s="176"/>
      <c r="Y249" s="176"/>
      <c r="Z249" s="176"/>
      <c r="AA249" s="176"/>
      <c r="AB249" s="176"/>
      <c r="AC249" s="176"/>
      <c r="AD249" s="176"/>
      <c r="AE249" s="176"/>
      <c r="AF249" s="176"/>
      <c r="AG249" s="176"/>
      <c r="AH249" s="176"/>
      <c r="AI249" s="176"/>
      <c r="AJ249" s="176"/>
      <c r="AK249" s="176"/>
      <c r="AL249" s="176"/>
      <c r="AM249" s="176"/>
      <c r="AN249" s="176"/>
      <c r="AO249" s="176"/>
      <c r="AP249" s="176"/>
      <c r="AQ249" s="176"/>
      <c r="AR249" s="176"/>
      <c r="AS249" s="176"/>
    </row>
    <row r="250" spans="1:46" s="61" customFormat="1" ht="35.1" customHeight="1" x14ac:dyDescent="0.2">
      <c r="A250" s="212"/>
      <c r="B250" s="283" t="s">
        <v>339</v>
      </c>
      <c r="C250" s="283"/>
      <c r="D250" s="283"/>
      <c r="E250" s="283"/>
      <c r="F250" s="283"/>
      <c r="G250" s="283"/>
      <c r="H250" s="283"/>
      <c r="I250" s="283"/>
      <c r="J250" s="283"/>
      <c r="K250" s="176"/>
      <c r="L250" s="176"/>
      <c r="M250" s="176"/>
      <c r="N250" s="176"/>
      <c r="O250" s="176"/>
      <c r="P250" s="176"/>
      <c r="Q250" s="176"/>
      <c r="R250" s="176"/>
      <c r="S250" s="176"/>
      <c r="T250" s="176"/>
      <c r="U250" s="176"/>
      <c r="V250" s="176"/>
      <c r="W250" s="176"/>
      <c r="X250" s="176"/>
      <c r="Y250" s="176"/>
      <c r="Z250" s="176"/>
      <c r="AA250" s="176"/>
      <c r="AB250" s="176"/>
      <c r="AC250" s="176"/>
      <c r="AD250" s="176"/>
      <c r="AE250" s="176"/>
      <c r="AF250" s="176"/>
      <c r="AG250" s="176"/>
      <c r="AH250" s="176"/>
      <c r="AI250" s="176"/>
      <c r="AJ250" s="176"/>
      <c r="AK250" s="176"/>
      <c r="AL250" s="176"/>
      <c r="AM250" s="176"/>
      <c r="AN250" s="176"/>
      <c r="AO250" s="176"/>
      <c r="AP250" s="176"/>
      <c r="AQ250" s="176"/>
      <c r="AR250" s="176"/>
      <c r="AS250" s="176"/>
    </row>
    <row r="251" spans="1:46" s="48" customFormat="1" ht="24.95" customHeight="1" x14ac:dyDescent="0.25">
      <c r="A251" s="241"/>
      <c r="B251" s="242" t="s">
        <v>8</v>
      </c>
      <c r="C251" s="242"/>
      <c r="D251" s="242" t="s">
        <v>186</v>
      </c>
      <c r="E251" s="243" t="s">
        <v>100</v>
      </c>
      <c r="F251" s="243"/>
      <c r="G251" s="243"/>
      <c r="H251" s="243"/>
      <c r="I251" s="244" t="s">
        <v>4</v>
      </c>
      <c r="J251" s="245" t="s">
        <v>101</v>
      </c>
      <c r="K251" s="176"/>
      <c r="L251" s="176"/>
      <c r="M251" s="176"/>
      <c r="N251" s="176"/>
      <c r="O251" s="176"/>
      <c r="P251" s="176"/>
      <c r="Q251" s="176"/>
      <c r="R251" s="176"/>
      <c r="S251" s="176"/>
      <c r="T251" s="176"/>
      <c r="U251" s="176"/>
      <c r="V251" s="176"/>
      <c r="W251" s="176"/>
      <c r="X251" s="176"/>
      <c r="Y251" s="176"/>
      <c r="Z251" s="176"/>
      <c r="AA251" s="176"/>
      <c r="AB251" s="176"/>
      <c r="AC251" s="176"/>
      <c r="AD251" s="176"/>
      <c r="AE251" s="176"/>
      <c r="AF251" s="176"/>
      <c r="AG251" s="176"/>
      <c r="AH251" s="176"/>
      <c r="AI251" s="176"/>
      <c r="AJ251" s="176"/>
      <c r="AK251" s="176"/>
      <c r="AL251" s="176"/>
      <c r="AM251" s="176"/>
      <c r="AN251" s="176"/>
      <c r="AO251" s="176"/>
      <c r="AP251" s="176"/>
      <c r="AQ251" s="176"/>
      <c r="AR251" s="176"/>
      <c r="AS251" s="176"/>
    </row>
    <row r="252" spans="1:46" s="7" customFormat="1" ht="24.95" customHeight="1" x14ac:dyDescent="0.25">
      <c r="A252" s="241"/>
      <c r="B252" s="242"/>
      <c r="C252" s="242"/>
      <c r="D252" s="242"/>
      <c r="E252" s="138" t="s">
        <v>244</v>
      </c>
      <c r="F252" s="138" t="s">
        <v>245</v>
      </c>
      <c r="G252" s="138" t="s">
        <v>246</v>
      </c>
      <c r="H252" s="177" t="s">
        <v>9</v>
      </c>
      <c r="I252" s="244"/>
      <c r="J252" s="245"/>
      <c r="K252" s="176"/>
      <c r="L252" s="176"/>
      <c r="M252" s="176"/>
      <c r="N252" s="176"/>
      <c r="O252" s="176"/>
      <c r="P252" s="176"/>
      <c r="Q252" s="176"/>
      <c r="R252" s="176"/>
      <c r="S252" s="176"/>
      <c r="T252" s="176"/>
      <c r="U252" s="176"/>
      <c r="V252" s="176"/>
      <c r="W252" s="176"/>
      <c r="X252" s="176"/>
      <c r="Y252" s="176"/>
      <c r="Z252" s="176"/>
      <c r="AA252" s="176"/>
      <c r="AB252" s="176"/>
      <c r="AC252" s="176"/>
      <c r="AD252" s="176"/>
      <c r="AE252" s="176"/>
      <c r="AF252" s="176"/>
      <c r="AG252" s="176"/>
      <c r="AH252" s="176"/>
      <c r="AI252" s="176"/>
      <c r="AJ252" s="176"/>
      <c r="AK252" s="176"/>
      <c r="AL252" s="176"/>
      <c r="AM252" s="176"/>
      <c r="AN252" s="176"/>
      <c r="AO252" s="176"/>
      <c r="AP252" s="176"/>
      <c r="AQ252" s="176"/>
      <c r="AR252" s="176"/>
      <c r="AS252" s="176"/>
    </row>
    <row r="253" spans="1:46" s="67" customFormat="1" ht="24.95" customHeight="1" x14ac:dyDescent="0.2">
      <c r="A253" s="139" t="s">
        <v>25</v>
      </c>
      <c r="B253" s="278" t="s">
        <v>176</v>
      </c>
      <c r="C253" s="278"/>
      <c r="D253" s="50" t="s">
        <v>11</v>
      </c>
      <c r="E253" s="68">
        <v>0</v>
      </c>
      <c r="F253" s="68">
        <v>45</v>
      </c>
      <c r="G253" s="68">
        <f>28</f>
        <v>28</v>
      </c>
      <c r="H253" s="68">
        <f>SUM(E253:G253)</f>
        <v>73</v>
      </c>
      <c r="I253" s="236"/>
      <c r="J253" s="90">
        <f>H253*I253</f>
        <v>0</v>
      </c>
      <c r="K253" s="176"/>
      <c r="L253" s="176"/>
      <c r="M253" s="176"/>
      <c r="N253" s="176"/>
      <c r="O253" s="176"/>
      <c r="P253" s="176"/>
      <c r="Q253" s="176"/>
      <c r="R253" s="176"/>
      <c r="S253" s="176"/>
      <c r="T253" s="176"/>
      <c r="U253" s="176"/>
      <c r="V253" s="176"/>
      <c r="W253" s="176"/>
      <c r="X253" s="176"/>
      <c r="Y253" s="176"/>
      <c r="Z253" s="176"/>
      <c r="AA253" s="176"/>
      <c r="AB253" s="176"/>
      <c r="AC253" s="176"/>
      <c r="AD253" s="176"/>
      <c r="AE253" s="176"/>
      <c r="AF253" s="176"/>
      <c r="AG253" s="176"/>
      <c r="AH253" s="176"/>
      <c r="AI253" s="176"/>
      <c r="AJ253" s="176"/>
      <c r="AK253" s="176"/>
      <c r="AL253" s="176"/>
      <c r="AM253" s="176"/>
      <c r="AN253" s="176"/>
      <c r="AO253" s="176"/>
      <c r="AP253" s="176"/>
      <c r="AQ253" s="176"/>
      <c r="AR253" s="176"/>
      <c r="AS253" s="176"/>
      <c r="AT253" s="172"/>
    </row>
    <row r="254" spans="1:46" s="67" customFormat="1" ht="24.95" customHeight="1" x14ac:dyDescent="0.2">
      <c r="A254" s="139" t="s">
        <v>25</v>
      </c>
      <c r="B254" s="278" t="s">
        <v>316</v>
      </c>
      <c r="C254" s="278"/>
      <c r="D254" s="50" t="s">
        <v>12</v>
      </c>
      <c r="E254" s="68">
        <f t="shared" ref="E254:F254" si="127">E253*0.4*1.2</f>
        <v>0</v>
      </c>
      <c r="F254" s="68">
        <f t="shared" si="127"/>
        <v>21.599999999999998</v>
      </c>
      <c r="G254" s="68">
        <f>G253*0.4*1.2</f>
        <v>13.440000000000001</v>
      </c>
      <c r="H254" s="68">
        <f t="shared" ref="H254:H279" si="128">SUM(E254:G254)</f>
        <v>35.04</v>
      </c>
      <c r="I254" s="236"/>
      <c r="J254" s="90">
        <f t="shared" ref="J254:J279" si="129">H254*I254</f>
        <v>0</v>
      </c>
      <c r="K254" s="176"/>
      <c r="L254" s="176"/>
      <c r="M254" s="176"/>
      <c r="N254" s="176"/>
      <c r="O254" s="176"/>
      <c r="P254" s="176"/>
      <c r="Q254" s="176"/>
      <c r="R254" s="176"/>
      <c r="S254" s="176"/>
      <c r="T254" s="176"/>
      <c r="U254" s="176"/>
      <c r="V254" s="176"/>
      <c r="W254" s="176"/>
      <c r="X254" s="176"/>
      <c r="Y254" s="176"/>
      <c r="Z254" s="176"/>
      <c r="AA254" s="176"/>
      <c r="AB254" s="176"/>
      <c r="AC254" s="176"/>
      <c r="AD254" s="176"/>
      <c r="AE254" s="176"/>
      <c r="AF254" s="176"/>
      <c r="AG254" s="176"/>
      <c r="AH254" s="176"/>
      <c r="AI254" s="176"/>
      <c r="AJ254" s="176"/>
      <c r="AK254" s="176"/>
      <c r="AL254" s="176"/>
      <c r="AM254" s="176"/>
      <c r="AN254" s="176"/>
      <c r="AO254" s="176"/>
      <c r="AP254" s="176"/>
      <c r="AQ254" s="176"/>
      <c r="AR254" s="176"/>
      <c r="AS254" s="176"/>
      <c r="AT254" s="172"/>
    </row>
    <row r="255" spans="1:46" s="67" customFormat="1" ht="24.95" customHeight="1" x14ac:dyDescent="0.2">
      <c r="A255" s="139" t="s">
        <v>25</v>
      </c>
      <c r="B255" s="278" t="s">
        <v>317</v>
      </c>
      <c r="C255" s="278"/>
      <c r="D255" s="50" t="s">
        <v>21</v>
      </c>
      <c r="E255" s="68">
        <f t="shared" ref="E255:F255" si="130">E254*1.8</f>
        <v>0</v>
      </c>
      <c r="F255" s="68">
        <f t="shared" si="130"/>
        <v>38.879999999999995</v>
      </c>
      <c r="G255" s="68">
        <f>G254*1.8</f>
        <v>24.192000000000004</v>
      </c>
      <c r="H255" s="68">
        <f t="shared" si="128"/>
        <v>63.072000000000003</v>
      </c>
      <c r="I255" s="236"/>
      <c r="J255" s="90">
        <f t="shared" si="129"/>
        <v>0</v>
      </c>
      <c r="K255" s="176"/>
      <c r="L255" s="176"/>
      <c r="M255" s="176"/>
      <c r="N255" s="176"/>
      <c r="O255" s="176"/>
      <c r="P255" s="176"/>
      <c r="Q255" s="176"/>
      <c r="R255" s="176"/>
      <c r="S255" s="176"/>
      <c r="T255" s="176"/>
      <c r="U255" s="176"/>
      <c r="V255" s="176"/>
      <c r="W255" s="176"/>
      <c r="X255" s="176"/>
      <c r="Y255" s="176"/>
      <c r="Z255" s="176"/>
      <c r="AA255" s="176"/>
      <c r="AB255" s="176"/>
      <c r="AC255" s="176"/>
      <c r="AD255" s="176"/>
      <c r="AE255" s="176"/>
      <c r="AF255" s="176"/>
      <c r="AG255" s="176"/>
      <c r="AH255" s="176"/>
      <c r="AI255" s="176"/>
      <c r="AJ255" s="176"/>
      <c r="AK255" s="176"/>
      <c r="AL255" s="176"/>
      <c r="AM255" s="176"/>
      <c r="AN255" s="176"/>
      <c r="AO255" s="176"/>
      <c r="AP255" s="176"/>
      <c r="AQ255" s="176"/>
      <c r="AR255" s="176"/>
      <c r="AS255" s="176"/>
      <c r="AT255" s="172"/>
    </row>
    <row r="256" spans="1:46" s="67" customFormat="1" ht="24.95" customHeight="1" x14ac:dyDescent="0.2">
      <c r="A256" s="139" t="s">
        <v>25</v>
      </c>
      <c r="B256" s="278" t="s">
        <v>175</v>
      </c>
      <c r="C256" s="278"/>
      <c r="D256" s="50" t="s">
        <v>11</v>
      </c>
      <c r="E256" s="68">
        <f t="shared" ref="E256:F256" si="131">E253</f>
        <v>0</v>
      </c>
      <c r="F256" s="68">
        <f t="shared" si="131"/>
        <v>45</v>
      </c>
      <c r="G256" s="68">
        <f>G253</f>
        <v>28</v>
      </c>
      <c r="H256" s="68">
        <f t="shared" si="128"/>
        <v>73</v>
      </c>
      <c r="I256" s="236"/>
      <c r="J256" s="90">
        <f t="shared" si="129"/>
        <v>0</v>
      </c>
      <c r="K256" s="176"/>
      <c r="L256" s="176"/>
      <c r="M256" s="176"/>
      <c r="N256" s="176"/>
      <c r="O256" s="176"/>
      <c r="P256" s="176"/>
      <c r="Q256" s="176"/>
      <c r="R256" s="176"/>
      <c r="S256" s="176"/>
      <c r="T256" s="176"/>
      <c r="U256" s="176"/>
      <c r="V256" s="176"/>
      <c r="W256" s="176"/>
      <c r="X256" s="176"/>
      <c r="Y256" s="176"/>
      <c r="Z256" s="176"/>
      <c r="AA256" s="176"/>
      <c r="AB256" s="176"/>
      <c r="AC256" s="176"/>
      <c r="AD256" s="176"/>
      <c r="AE256" s="176"/>
      <c r="AF256" s="176"/>
      <c r="AG256" s="176"/>
      <c r="AH256" s="176"/>
      <c r="AI256" s="176"/>
      <c r="AJ256" s="176"/>
      <c r="AK256" s="176"/>
      <c r="AL256" s="176"/>
      <c r="AM256" s="176"/>
      <c r="AN256" s="176"/>
      <c r="AO256" s="176"/>
      <c r="AP256" s="176"/>
      <c r="AQ256" s="176"/>
      <c r="AR256" s="176"/>
      <c r="AS256" s="176"/>
      <c r="AT256" s="172"/>
    </row>
    <row r="257" spans="1:46" s="146" customFormat="1" ht="24.95" customHeight="1" x14ac:dyDescent="0.2">
      <c r="A257" s="142" t="s">
        <v>25</v>
      </c>
      <c r="B257" s="279" t="s">
        <v>318</v>
      </c>
      <c r="C257" s="280"/>
      <c r="D257" s="143" t="s">
        <v>319</v>
      </c>
      <c r="E257" s="144">
        <v>0</v>
      </c>
      <c r="F257" s="144">
        <v>1</v>
      </c>
      <c r="G257" s="144">
        <v>1</v>
      </c>
      <c r="H257" s="144">
        <f t="shared" si="128"/>
        <v>2</v>
      </c>
      <c r="I257" s="237"/>
      <c r="J257" s="145">
        <f t="shared" si="129"/>
        <v>0</v>
      </c>
      <c r="K257" s="176"/>
      <c r="L257" s="176"/>
      <c r="M257" s="176"/>
      <c r="N257" s="176"/>
      <c r="O257" s="176"/>
      <c r="P257" s="176"/>
      <c r="Q257" s="176"/>
      <c r="R257" s="176"/>
      <c r="S257" s="176"/>
      <c r="T257" s="176"/>
      <c r="U257" s="176"/>
      <c r="V257" s="176"/>
      <c r="W257" s="176"/>
      <c r="X257" s="176"/>
      <c r="Y257" s="176"/>
      <c r="Z257" s="176"/>
      <c r="AA257" s="176"/>
      <c r="AB257" s="176"/>
      <c r="AC257" s="176"/>
      <c r="AD257" s="176"/>
      <c r="AE257" s="176"/>
      <c r="AF257" s="176"/>
      <c r="AG257" s="176"/>
      <c r="AH257" s="176"/>
      <c r="AI257" s="176"/>
      <c r="AJ257" s="176"/>
      <c r="AK257" s="176"/>
      <c r="AL257" s="176"/>
      <c r="AM257" s="176"/>
      <c r="AN257" s="176"/>
      <c r="AO257" s="176"/>
      <c r="AP257" s="176"/>
      <c r="AQ257" s="176"/>
      <c r="AR257" s="176"/>
      <c r="AS257" s="176"/>
      <c r="AT257" s="173"/>
    </row>
    <row r="258" spans="1:46" s="146" customFormat="1" ht="24.95" customHeight="1" x14ac:dyDescent="0.2">
      <c r="A258" s="142" t="s">
        <v>320</v>
      </c>
      <c r="B258" s="281" t="s">
        <v>321</v>
      </c>
      <c r="C258" s="282"/>
      <c r="D258" s="147" t="s">
        <v>12</v>
      </c>
      <c r="E258" s="144">
        <f t="shared" ref="E258:F258" si="132">E253*0.15</f>
        <v>0</v>
      </c>
      <c r="F258" s="144">
        <f t="shared" si="132"/>
        <v>6.75</v>
      </c>
      <c r="G258" s="144">
        <f>G253*0.15</f>
        <v>4.2</v>
      </c>
      <c r="H258" s="144">
        <f t="shared" si="128"/>
        <v>10.95</v>
      </c>
      <c r="I258" s="236"/>
      <c r="J258" s="145">
        <f t="shared" si="129"/>
        <v>0</v>
      </c>
      <c r="K258" s="176"/>
      <c r="L258" s="176"/>
      <c r="M258" s="176"/>
      <c r="N258" s="176"/>
      <c r="O258" s="176"/>
      <c r="P258" s="176"/>
      <c r="Q258" s="176"/>
      <c r="R258" s="176"/>
      <c r="S258" s="176"/>
      <c r="T258" s="176"/>
      <c r="U258" s="176"/>
      <c r="V258" s="176"/>
      <c r="W258" s="176"/>
      <c r="X258" s="176"/>
      <c r="Y258" s="176"/>
      <c r="Z258" s="176"/>
      <c r="AA258" s="176"/>
      <c r="AB258" s="176"/>
      <c r="AC258" s="176"/>
      <c r="AD258" s="176"/>
      <c r="AE258" s="176"/>
      <c r="AF258" s="176"/>
      <c r="AG258" s="176"/>
      <c r="AH258" s="176"/>
      <c r="AI258" s="176"/>
      <c r="AJ258" s="176"/>
      <c r="AK258" s="176"/>
      <c r="AL258" s="176"/>
      <c r="AM258" s="176"/>
      <c r="AN258" s="176"/>
      <c r="AO258" s="176"/>
      <c r="AP258" s="176"/>
      <c r="AQ258" s="176"/>
      <c r="AR258" s="176"/>
      <c r="AS258" s="176"/>
      <c r="AT258" s="173"/>
    </row>
    <row r="259" spans="1:46" s="146" customFormat="1" ht="24.95" customHeight="1" x14ac:dyDescent="0.2">
      <c r="A259" s="142" t="s">
        <v>25</v>
      </c>
      <c r="B259" s="279" t="s">
        <v>322</v>
      </c>
      <c r="C259" s="280"/>
      <c r="D259" s="147" t="s">
        <v>12</v>
      </c>
      <c r="E259" s="144">
        <f t="shared" ref="E259:F259" si="133">E258</f>
        <v>0</v>
      </c>
      <c r="F259" s="144">
        <f t="shared" si="133"/>
        <v>6.75</v>
      </c>
      <c r="G259" s="144">
        <f>G258</f>
        <v>4.2</v>
      </c>
      <c r="H259" s="144">
        <f t="shared" si="128"/>
        <v>10.95</v>
      </c>
      <c r="I259" s="236"/>
      <c r="J259" s="145">
        <f t="shared" si="129"/>
        <v>0</v>
      </c>
      <c r="K259" s="176"/>
      <c r="L259" s="176"/>
      <c r="M259" s="176"/>
      <c r="N259" s="176"/>
      <c r="O259" s="176"/>
      <c r="P259" s="176"/>
      <c r="Q259" s="176"/>
      <c r="R259" s="176"/>
      <c r="S259" s="176"/>
      <c r="T259" s="176"/>
      <c r="U259" s="176"/>
      <c r="V259" s="176"/>
      <c r="W259" s="176"/>
      <c r="X259" s="176"/>
      <c r="Y259" s="176"/>
      <c r="Z259" s="176"/>
      <c r="AA259" s="176"/>
      <c r="AB259" s="176"/>
      <c r="AC259" s="176"/>
      <c r="AD259" s="176"/>
      <c r="AE259" s="176"/>
      <c r="AF259" s="176"/>
      <c r="AG259" s="176"/>
      <c r="AH259" s="176"/>
      <c r="AI259" s="176"/>
      <c r="AJ259" s="176"/>
      <c r="AK259" s="176"/>
      <c r="AL259" s="176"/>
      <c r="AM259" s="176"/>
      <c r="AN259" s="176"/>
      <c r="AO259" s="176"/>
      <c r="AP259" s="176"/>
      <c r="AQ259" s="176"/>
      <c r="AR259" s="176"/>
      <c r="AS259" s="176"/>
      <c r="AT259" s="173"/>
    </row>
    <row r="260" spans="1:46" s="146" customFormat="1" ht="24.95" customHeight="1" x14ac:dyDescent="0.2">
      <c r="A260" s="142" t="s">
        <v>323</v>
      </c>
      <c r="B260" s="282" t="s">
        <v>324</v>
      </c>
      <c r="C260" s="282"/>
      <c r="D260" s="147" t="s">
        <v>11</v>
      </c>
      <c r="E260" s="144">
        <f t="shared" ref="E260:F260" si="134">E253</f>
        <v>0</v>
      </c>
      <c r="F260" s="144">
        <f t="shared" si="134"/>
        <v>45</v>
      </c>
      <c r="G260" s="144">
        <f>G253</f>
        <v>28</v>
      </c>
      <c r="H260" s="144">
        <f t="shared" si="128"/>
        <v>73</v>
      </c>
      <c r="I260" s="236"/>
      <c r="J260" s="145">
        <f t="shared" si="129"/>
        <v>0</v>
      </c>
      <c r="K260" s="176"/>
      <c r="L260" s="176"/>
      <c r="M260" s="176"/>
      <c r="N260" s="176"/>
      <c r="O260" s="176"/>
      <c r="P260" s="176"/>
      <c r="Q260" s="176"/>
      <c r="R260" s="176"/>
      <c r="S260" s="176"/>
      <c r="T260" s="176"/>
      <c r="U260" s="176"/>
      <c r="V260" s="176"/>
      <c r="W260" s="176"/>
      <c r="X260" s="176"/>
      <c r="Y260" s="176"/>
      <c r="Z260" s="176"/>
      <c r="AA260" s="176"/>
      <c r="AB260" s="176"/>
      <c r="AC260" s="176"/>
      <c r="AD260" s="176"/>
      <c r="AE260" s="176"/>
      <c r="AF260" s="176"/>
      <c r="AG260" s="176"/>
      <c r="AH260" s="176"/>
      <c r="AI260" s="176"/>
      <c r="AJ260" s="176"/>
      <c r="AK260" s="176"/>
      <c r="AL260" s="176"/>
      <c r="AM260" s="176"/>
      <c r="AN260" s="176"/>
      <c r="AO260" s="176"/>
      <c r="AP260" s="176"/>
      <c r="AQ260" s="176"/>
      <c r="AR260" s="176"/>
      <c r="AS260" s="176"/>
      <c r="AT260" s="173"/>
    </row>
    <row r="261" spans="1:46" s="146" customFormat="1" ht="24.95" customHeight="1" x14ac:dyDescent="0.2">
      <c r="A261" s="142" t="s">
        <v>26</v>
      </c>
      <c r="B261" s="279" t="s">
        <v>325</v>
      </c>
      <c r="C261" s="280"/>
      <c r="D261" s="147" t="s">
        <v>21</v>
      </c>
      <c r="E261" s="144">
        <f t="shared" ref="E261:F261" si="135">E253*0.15*2</f>
        <v>0</v>
      </c>
      <c r="F261" s="144">
        <f t="shared" si="135"/>
        <v>13.5</v>
      </c>
      <c r="G261" s="144">
        <f>G253*0.15*2</f>
        <v>8.4</v>
      </c>
      <c r="H261" s="144">
        <f t="shared" si="128"/>
        <v>21.9</v>
      </c>
      <c r="I261" s="236"/>
      <c r="J261" s="145">
        <f t="shared" si="129"/>
        <v>0</v>
      </c>
      <c r="K261" s="176"/>
      <c r="L261" s="176"/>
      <c r="M261" s="176"/>
      <c r="N261" s="176"/>
      <c r="O261" s="176"/>
      <c r="P261" s="176"/>
      <c r="Q261" s="176"/>
      <c r="R261" s="176"/>
      <c r="S261" s="176"/>
      <c r="T261" s="176"/>
      <c r="U261" s="176"/>
      <c r="V261" s="176"/>
      <c r="W261" s="176"/>
      <c r="X261" s="176"/>
      <c r="Y261" s="176"/>
      <c r="Z261" s="176"/>
      <c r="AA261" s="176"/>
      <c r="AB261" s="176"/>
      <c r="AC261" s="176"/>
      <c r="AD261" s="176"/>
      <c r="AE261" s="176"/>
      <c r="AF261" s="176"/>
      <c r="AG261" s="176"/>
      <c r="AH261" s="176"/>
      <c r="AI261" s="176"/>
      <c r="AJ261" s="176"/>
      <c r="AK261" s="176"/>
      <c r="AL261" s="176"/>
      <c r="AM261" s="176"/>
      <c r="AN261" s="176"/>
      <c r="AO261" s="176"/>
      <c r="AP261" s="176"/>
      <c r="AQ261" s="176"/>
      <c r="AR261" s="176"/>
      <c r="AS261" s="176"/>
      <c r="AT261" s="173"/>
    </row>
    <row r="262" spans="1:46" s="67" customFormat="1" ht="24.95" customHeight="1" x14ac:dyDescent="0.2">
      <c r="A262" s="140" t="s">
        <v>25</v>
      </c>
      <c r="B262" s="278" t="s">
        <v>326</v>
      </c>
      <c r="C262" s="351"/>
      <c r="D262" s="141" t="s">
        <v>319</v>
      </c>
      <c r="E262" s="68">
        <v>0</v>
      </c>
      <c r="F262" s="68">
        <v>1</v>
      </c>
      <c r="G262" s="68">
        <v>1</v>
      </c>
      <c r="H262" s="68">
        <f t="shared" si="128"/>
        <v>2</v>
      </c>
      <c r="I262" s="237"/>
      <c r="J262" s="90">
        <f t="shared" si="129"/>
        <v>0</v>
      </c>
      <c r="K262" s="176"/>
      <c r="L262" s="176"/>
      <c r="M262" s="176"/>
      <c r="N262" s="176"/>
      <c r="O262" s="176"/>
      <c r="P262" s="176"/>
      <c r="Q262" s="176"/>
      <c r="R262" s="176"/>
      <c r="S262" s="176"/>
      <c r="T262" s="176"/>
      <c r="U262" s="176"/>
      <c r="V262" s="176"/>
      <c r="W262" s="176"/>
      <c r="X262" s="176"/>
      <c r="Y262" s="176"/>
      <c r="Z262" s="176"/>
      <c r="AA262" s="176"/>
      <c r="AB262" s="176"/>
      <c r="AC262" s="176"/>
      <c r="AD262" s="176"/>
      <c r="AE262" s="176"/>
      <c r="AF262" s="176"/>
      <c r="AG262" s="176"/>
      <c r="AH262" s="176"/>
      <c r="AI262" s="176"/>
      <c r="AJ262" s="176"/>
      <c r="AK262" s="176"/>
      <c r="AL262" s="176"/>
      <c r="AM262" s="176"/>
      <c r="AN262" s="176"/>
      <c r="AO262" s="176"/>
      <c r="AP262" s="176"/>
      <c r="AQ262" s="176"/>
      <c r="AR262" s="176"/>
      <c r="AS262" s="176"/>
      <c r="AT262" s="172"/>
    </row>
    <row r="263" spans="1:46" s="67" customFormat="1" ht="24.95" customHeight="1" x14ac:dyDescent="0.2">
      <c r="A263" s="140" t="s">
        <v>320</v>
      </c>
      <c r="B263" s="276" t="s">
        <v>327</v>
      </c>
      <c r="C263" s="352"/>
      <c r="D263" s="50" t="s">
        <v>12</v>
      </c>
      <c r="E263" s="68">
        <f t="shared" ref="E263:F263" si="136">E253*0.1</f>
        <v>0</v>
      </c>
      <c r="F263" s="68">
        <f t="shared" si="136"/>
        <v>4.5</v>
      </c>
      <c r="G263" s="68">
        <f>G253*0.1</f>
        <v>2.8000000000000003</v>
      </c>
      <c r="H263" s="68">
        <f t="shared" si="128"/>
        <v>7.3000000000000007</v>
      </c>
      <c r="I263" s="236"/>
      <c r="J263" s="90">
        <f t="shared" si="129"/>
        <v>0</v>
      </c>
      <c r="K263" s="176"/>
      <c r="L263" s="176"/>
      <c r="M263" s="176"/>
      <c r="N263" s="176"/>
      <c r="O263" s="176"/>
      <c r="P263" s="176"/>
      <c r="Q263" s="176"/>
      <c r="R263" s="176"/>
      <c r="S263" s="176"/>
      <c r="T263" s="176"/>
      <c r="U263" s="176"/>
      <c r="V263" s="176"/>
      <c r="W263" s="176"/>
      <c r="X263" s="176"/>
      <c r="Y263" s="176"/>
      <c r="Z263" s="176"/>
      <c r="AA263" s="176"/>
      <c r="AB263" s="176"/>
      <c r="AC263" s="176"/>
      <c r="AD263" s="176"/>
      <c r="AE263" s="176"/>
      <c r="AF263" s="176"/>
      <c r="AG263" s="176"/>
      <c r="AH263" s="176"/>
      <c r="AI263" s="176"/>
      <c r="AJ263" s="176"/>
      <c r="AK263" s="176"/>
      <c r="AL263" s="176"/>
      <c r="AM263" s="176"/>
      <c r="AN263" s="176"/>
      <c r="AO263" s="176"/>
      <c r="AP263" s="176"/>
      <c r="AQ263" s="176"/>
      <c r="AR263" s="176"/>
      <c r="AS263" s="176"/>
      <c r="AT263" s="172"/>
    </row>
    <row r="264" spans="1:46" s="67" customFormat="1" ht="24.95" customHeight="1" x14ac:dyDescent="0.2">
      <c r="A264" s="140" t="s">
        <v>25</v>
      </c>
      <c r="B264" s="278" t="s">
        <v>328</v>
      </c>
      <c r="C264" s="351"/>
      <c r="D264" s="50" t="s">
        <v>12</v>
      </c>
      <c r="E264" s="68">
        <f t="shared" ref="E264:F264" si="137">E263</f>
        <v>0</v>
      </c>
      <c r="F264" s="68">
        <f t="shared" si="137"/>
        <v>4.5</v>
      </c>
      <c r="G264" s="68">
        <f>G263</f>
        <v>2.8000000000000003</v>
      </c>
      <c r="H264" s="68">
        <f t="shared" si="128"/>
        <v>7.3000000000000007</v>
      </c>
      <c r="I264" s="236"/>
      <c r="J264" s="90">
        <f t="shared" si="129"/>
        <v>0</v>
      </c>
      <c r="K264" s="176"/>
      <c r="L264" s="176"/>
      <c r="M264" s="176"/>
      <c r="N264" s="176"/>
      <c r="O264" s="176"/>
      <c r="P264" s="176"/>
      <c r="Q264" s="176"/>
      <c r="R264" s="176"/>
      <c r="S264" s="176"/>
      <c r="T264" s="176"/>
      <c r="U264" s="176"/>
      <c r="V264" s="176"/>
      <c r="W264" s="176"/>
      <c r="X264" s="176"/>
      <c r="Y264" s="176"/>
      <c r="Z264" s="176"/>
      <c r="AA264" s="176"/>
      <c r="AB264" s="176"/>
      <c r="AC264" s="176"/>
      <c r="AD264" s="176"/>
      <c r="AE264" s="176"/>
      <c r="AF264" s="176"/>
      <c r="AG264" s="176"/>
      <c r="AH264" s="176"/>
      <c r="AI264" s="176"/>
      <c r="AJ264" s="176"/>
      <c r="AK264" s="176"/>
      <c r="AL264" s="176"/>
      <c r="AM264" s="176"/>
      <c r="AN264" s="176"/>
      <c r="AO264" s="176"/>
      <c r="AP264" s="176"/>
      <c r="AQ264" s="176"/>
      <c r="AR264" s="176"/>
      <c r="AS264" s="176"/>
      <c r="AT264" s="172"/>
    </row>
    <row r="265" spans="1:46" s="67" customFormat="1" ht="24.95" customHeight="1" x14ac:dyDescent="0.2">
      <c r="A265" s="140" t="s">
        <v>323</v>
      </c>
      <c r="B265" s="352" t="s">
        <v>324</v>
      </c>
      <c r="C265" s="352"/>
      <c r="D265" s="50" t="s">
        <v>11</v>
      </c>
      <c r="E265" s="68">
        <f t="shared" ref="E265:F265" si="138">E253</f>
        <v>0</v>
      </c>
      <c r="F265" s="68">
        <f t="shared" si="138"/>
        <v>45</v>
      </c>
      <c r="G265" s="68">
        <f>G253</f>
        <v>28</v>
      </c>
      <c r="H265" s="68">
        <f t="shared" si="128"/>
        <v>73</v>
      </c>
      <c r="I265" s="236"/>
      <c r="J265" s="90">
        <f t="shared" si="129"/>
        <v>0</v>
      </c>
      <c r="K265" s="176"/>
      <c r="L265" s="176"/>
      <c r="M265" s="176"/>
      <c r="N265" s="176"/>
      <c r="O265" s="176"/>
      <c r="P265" s="176"/>
      <c r="Q265" s="176"/>
      <c r="R265" s="176"/>
      <c r="S265" s="176"/>
      <c r="T265" s="176"/>
      <c r="U265" s="176"/>
      <c r="V265" s="176"/>
      <c r="W265" s="176"/>
      <c r="X265" s="176"/>
      <c r="Y265" s="176"/>
      <c r="Z265" s="176"/>
      <c r="AA265" s="176"/>
      <c r="AB265" s="176"/>
      <c r="AC265" s="176"/>
      <c r="AD265" s="176"/>
      <c r="AE265" s="176"/>
      <c r="AF265" s="176"/>
      <c r="AG265" s="176"/>
      <c r="AH265" s="176"/>
      <c r="AI265" s="176"/>
      <c r="AJ265" s="176"/>
      <c r="AK265" s="176"/>
      <c r="AL265" s="176"/>
      <c r="AM265" s="176"/>
      <c r="AN265" s="176"/>
      <c r="AO265" s="176"/>
      <c r="AP265" s="176"/>
      <c r="AQ265" s="176"/>
      <c r="AR265" s="176"/>
      <c r="AS265" s="176"/>
      <c r="AT265" s="172"/>
    </row>
    <row r="266" spans="1:46" s="67" customFormat="1" ht="24.95" customHeight="1" x14ac:dyDescent="0.2">
      <c r="A266" s="140" t="s">
        <v>26</v>
      </c>
      <c r="B266" s="278" t="s">
        <v>329</v>
      </c>
      <c r="C266" s="351"/>
      <c r="D266" s="50" t="s">
        <v>21</v>
      </c>
      <c r="E266" s="68">
        <f t="shared" ref="E266:F266" si="139">E253*0.1*2</f>
        <v>0</v>
      </c>
      <c r="F266" s="68">
        <f t="shared" si="139"/>
        <v>9</v>
      </c>
      <c r="G266" s="68">
        <f>G253*0.1*2</f>
        <v>5.6000000000000005</v>
      </c>
      <c r="H266" s="68">
        <f t="shared" si="128"/>
        <v>14.600000000000001</v>
      </c>
      <c r="I266" s="236"/>
      <c r="J266" s="90">
        <f t="shared" si="129"/>
        <v>0</v>
      </c>
      <c r="K266" s="176"/>
      <c r="L266" s="176"/>
      <c r="M266" s="176"/>
      <c r="N266" s="176"/>
      <c r="O266" s="176"/>
      <c r="P266" s="176"/>
      <c r="Q266" s="176"/>
      <c r="R266" s="176"/>
      <c r="S266" s="176"/>
      <c r="T266" s="176"/>
      <c r="U266" s="176"/>
      <c r="V266" s="176"/>
      <c r="W266" s="176"/>
      <c r="X266" s="176"/>
      <c r="Y266" s="176"/>
      <c r="Z266" s="176"/>
      <c r="AA266" s="176"/>
      <c r="AB266" s="176"/>
      <c r="AC266" s="176"/>
      <c r="AD266" s="176"/>
      <c r="AE266" s="176"/>
      <c r="AF266" s="176"/>
      <c r="AG266" s="176"/>
      <c r="AH266" s="176"/>
      <c r="AI266" s="176"/>
      <c r="AJ266" s="176"/>
      <c r="AK266" s="176"/>
      <c r="AL266" s="176"/>
      <c r="AM266" s="176"/>
      <c r="AN266" s="176"/>
      <c r="AO266" s="176"/>
      <c r="AP266" s="176"/>
      <c r="AQ266" s="176"/>
      <c r="AR266" s="176"/>
      <c r="AS266" s="176"/>
      <c r="AT266" s="172"/>
    </row>
    <row r="267" spans="1:46" s="146" customFormat="1" ht="24.95" customHeight="1" x14ac:dyDescent="0.2">
      <c r="A267" s="142" t="s">
        <v>25</v>
      </c>
      <c r="B267" s="279" t="s">
        <v>330</v>
      </c>
      <c r="C267" s="280"/>
      <c r="D267" s="143" t="s">
        <v>319</v>
      </c>
      <c r="E267" s="144">
        <v>0</v>
      </c>
      <c r="F267" s="144">
        <v>1</v>
      </c>
      <c r="G267" s="144">
        <v>1</v>
      </c>
      <c r="H267" s="144">
        <f t="shared" si="128"/>
        <v>2</v>
      </c>
      <c r="I267" s="237"/>
      <c r="J267" s="145">
        <f t="shared" si="129"/>
        <v>0</v>
      </c>
      <c r="K267" s="176"/>
      <c r="L267" s="176"/>
      <c r="M267" s="176"/>
      <c r="N267" s="176"/>
      <c r="O267" s="176"/>
      <c r="P267" s="176"/>
      <c r="Q267" s="176"/>
      <c r="R267" s="176"/>
      <c r="S267" s="176"/>
      <c r="T267" s="176"/>
      <c r="U267" s="176"/>
      <c r="V267" s="176"/>
      <c r="W267" s="176"/>
      <c r="X267" s="176"/>
      <c r="Y267" s="176"/>
      <c r="Z267" s="176"/>
      <c r="AA267" s="176"/>
      <c r="AB267" s="176"/>
      <c r="AC267" s="176"/>
      <c r="AD267" s="176"/>
      <c r="AE267" s="176"/>
      <c r="AF267" s="176"/>
      <c r="AG267" s="176"/>
      <c r="AH267" s="176"/>
      <c r="AI267" s="176"/>
      <c r="AJ267" s="176"/>
      <c r="AK267" s="176"/>
      <c r="AL267" s="176"/>
      <c r="AM267" s="176"/>
      <c r="AN267" s="176"/>
      <c r="AO267" s="176"/>
      <c r="AP267" s="176"/>
      <c r="AQ267" s="176"/>
      <c r="AR267" s="176"/>
      <c r="AS267" s="176"/>
      <c r="AT267" s="173"/>
    </row>
    <row r="268" spans="1:46" s="146" customFormat="1" ht="24.95" customHeight="1" x14ac:dyDescent="0.2">
      <c r="A268" s="142" t="s">
        <v>320</v>
      </c>
      <c r="B268" s="281" t="s">
        <v>331</v>
      </c>
      <c r="C268" s="282"/>
      <c r="D268" s="147" t="s">
        <v>12</v>
      </c>
      <c r="E268" s="144">
        <f t="shared" ref="E268:F268" si="140">E253*0.1</f>
        <v>0</v>
      </c>
      <c r="F268" s="144">
        <f t="shared" si="140"/>
        <v>4.5</v>
      </c>
      <c r="G268" s="144">
        <f>G253*0.1</f>
        <v>2.8000000000000003</v>
      </c>
      <c r="H268" s="144">
        <f t="shared" si="128"/>
        <v>7.3000000000000007</v>
      </c>
      <c r="I268" s="236"/>
      <c r="J268" s="145">
        <f t="shared" si="129"/>
        <v>0</v>
      </c>
      <c r="K268" s="176"/>
      <c r="L268" s="176"/>
      <c r="M268" s="176"/>
      <c r="N268" s="176"/>
      <c r="O268" s="176"/>
      <c r="P268" s="176"/>
      <c r="Q268" s="176"/>
      <c r="R268" s="176"/>
      <c r="S268" s="176"/>
      <c r="T268" s="176"/>
      <c r="U268" s="176"/>
      <c r="V268" s="176"/>
      <c r="W268" s="176"/>
      <c r="X268" s="176"/>
      <c r="Y268" s="176"/>
      <c r="Z268" s="176"/>
      <c r="AA268" s="176"/>
      <c r="AB268" s="176"/>
      <c r="AC268" s="176"/>
      <c r="AD268" s="176"/>
      <c r="AE268" s="176"/>
      <c r="AF268" s="176"/>
      <c r="AG268" s="176"/>
      <c r="AH268" s="176"/>
      <c r="AI268" s="176"/>
      <c r="AJ268" s="176"/>
      <c r="AK268" s="176"/>
      <c r="AL268" s="176"/>
      <c r="AM268" s="176"/>
      <c r="AN268" s="176"/>
      <c r="AO268" s="176"/>
      <c r="AP268" s="176"/>
      <c r="AQ268" s="176"/>
      <c r="AR268" s="176"/>
      <c r="AS268" s="176"/>
      <c r="AT268" s="173"/>
    </row>
    <row r="269" spans="1:46" s="146" customFormat="1" ht="24.95" customHeight="1" x14ac:dyDescent="0.2">
      <c r="A269" s="142" t="s">
        <v>25</v>
      </c>
      <c r="B269" s="279" t="s">
        <v>332</v>
      </c>
      <c r="C269" s="280"/>
      <c r="D269" s="147" t="s">
        <v>12</v>
      </c>
      <c r="E269" s="144">
        <f t="shared" ref="E269:F269" si="141">E268</f>
        <v>0</v>
      </c>
      <c r="F269" s="144">
        <f t="shared" si="141"/>
        <v>4.5</v>
      </c>
      <c r="G269" s="144">
        <f>G268</f>
        <v>2.8000000000000003</v>
      </c>
      <c r="H269" s="144">
        <f t="shared" si="128"/>
        <v>7.3000000000000007</v>
      </c>
      <c r="I269" s="236"/>
      <c r="J269" s="145">
        <f t="shared" si="129"/>
        <v>0</v>
      </c>
      <c r="K269" s="176"/>
      <c r="L269" s="176"/>
      <c r="M269" s="176"/>
      <c r="N269" s="176"/>
      <c r="O269" s="176"/>
      <c r="P269" s="176"/>
      <c r="Q269" s="176"/>
      <c r="R269" s="176"/>
      <c r="S269" s="176"/>
      <c r="T269" s="176"/>
      <c r="U269" s="176"/>
      <c r="V269" s="176"/>
      <c r="W269" s="176"/>
      <c r="X269" s="176"/>
      <c r="Y269" s="176"/>
      <c r="Z269" s="176"/>
      <c r="AA269" s="176"/>
      <c r="AB269" s="176"/>
      <c r="AC269" s="176"/>
      <c r="AD269" s="176"/>
      <c r="AE269" s="176"/>
      <c r="AF269" s="176"/>
      <c r="AG269" s="176"/>
      <c r="AH269" s="176"/>
      <c r="AI269" s="176"/>
      <c r="AJ269" s="176"/>
      <c r="AK269" s="176"/>
      <c r="AL269" s="176"/>
      <c r="AM269" s="176"/>
      <c r="AN269" s="176"/>
      <c r="AO269" s="176"/>
      <c r="AP269" s="176"/>
      <c r="AQ269" s="176"/>
      <c r="AR269" s="176"/>
      <c r="AS269" s="176"/>
      <c r="AT269" s="173"/>
    </row>
    <row r="270" spans="1:46" s="146" customFormat="1" ht="24.95" customHeight="1" x14ac:dyDescent="0.2">
      <c r="A270" s="142" t="s">
        <v>323</v>
      </c>
      <c r="B270" s="282" t="s">
        <v>324</v>
      </c>
      <c r="C270" s="282"/>
      <c r="D270" s="147" t="s">
        <v>11</v>
      </c>
      <c r="E270" s="144">
        <f t="shared" ref="E270:F270" si="142">E253</f>
        <v>0</v>
      </c>
      <c r="F270" s="144">
        <f t="shared" si="142"/>
        <v>45</v>
      </c>
      <c r="G270" s="144">
        <f>G253</f>
        <v>28</v>
      </c>
      <c r="H270" s="144">
        <f t="shared" si="128"/>
        <v>73</v>
      </c>
      <c r="I270" s="236"/>
      <c r="J270" s="145">
        <f t="shared" si="129"/>
        <v>0</v>
      </c>
      <c r="K270" s="176"/>
      <c r="L270" s="176"/>
      <c r="M270" s="176"/>
      <c r="N270" s="176"/>
      <c r="O270" s="176"/>
      <c r="P270" s="176"/>
      <c r="Q270" s="176"/>
      <c r="R270" s="176"/>
      <c r="S270" s="176"/>
      <c r="T270" s="176"/>
      <c r="U270" s="176"/>
      <c r="V270" s="176"/>
      <c r="W270" s="176"/>
      <c r="X270" s="176"/>
      <c r="Y270" s="176"/>
      <c r="Z270" s="176"/>
      <c r="AA270" s="176"/>
      <c r="AB270" s="176"/>
      <c r="AC270" s="176"/>
      <c r="AD270" s="176"/>
      <c r="AE270" s="176"/>
      <c r="AF270" s="176"/>
      <c r="AG270" s="176"/>
      <c r="AH270" s="176"/>
      <c r="AI270" s="176"/>
      <c r="AJ270" s="176"/>
      <c r="AK270" s="176"/>
      <c r="AL270" s="176"/>
      <c r="AM270" s="176"/>
      <c r="AN270" s="176"/>
      <c r="AO270" s="176"/>
      <c r="AP270" s="176"/>
      <c r="AQ270" s="176"/>
      <c r="AR270" s="176"/>
      <c r="AS270" s="176"/>
      <c r="AT270" s="173"/>
    </row>
    <row r="271" spans="1:46" s="146" customFormat="1" ht="24.95" customHeight="1" x14ac:dyDescent="0.2">
      <c r="A271" s="142" t="s">
        <v>26</v>
      </c>
      <c r="B271" s="279" t="s">
        <v>333</v>
      </c>
      <c r="C271" s="280"/>
      <c r="D271" s="147" t="s">
        <v>21</v>
      </c>
      <c r="E271" s="144">
        <f t="shared" ref="E271:F271" si="143">0.1*E253*2</f>
        <v>0</v>
      </c>
      <c r="F271" s="144">
        <f t="shared" si="143"/>
        <v>9</v>
      </c>
      <c r="G271" s="144">
        <f>0.1*G253*2</f>
        <v>5.6000000000000005</v>
      </c>
      <c r="H271" s="144">
        <f t="shared" si="128"/>
        <v>14.600000000000001</v>
      </c>
      <c r="I271" s="236"/>
      <c r="J271" s="145">
        <f t="shared" si="129"/>
        <v>0</v>
      </c>
      <c r="K271" s="176"/>
      <c r="L271" s="176"/>
      <c r="M271" s="176"/>
      <c r="N271" s="176"/>
      <c r="O271" s="176"/>
      <c r="P271" s="176"/>
      <c r="Q271" s="176"/>
      <c r="R271" s="176"/>
      <c r="S271" s="176"/>
      <c r="T271" s="176"/>
      <c r="U271" s="176"/>
      <c r="V271" s="176"/>
      <c r="W271" s="176"/>
      <c r="X271" s="176"/>
      <c r="Y271" s="176"/>
      <c r="Z271" s="176"/>
      <c r="AA271" s="176"/>
      <c r="AB271" s="176"/>
      <c r="AC271" s="176"/>
      <c r="AD271" s="176"/>
      <c r="AE271" s="176"/>
      <c r="AF271" s="176"/>
      <c r="AG271" s="176"/>
      <c r="AH271" s="176"/>
      <c r="AI271" s="176"/>
      <c r="AJ271" s="176"/>
      <c r="AK271" s="176"/>
      <c r="AL271" s="176"/>
      <c r="AM271" s="176"/>
      <c r="AN271" s="176"/>
      <c r="AO271" s="176"/>
      <c r="AP271" s="176"/>
      <c r="AQ271" s="176"/>
      <c r="AR271" s="176"/>
      <c r="AS271" s="176"/>
      <c r="AT271" s="173"/>
    </row>
    <row r="272" spans="1:46" s="67" customFormat="1" ht="24.95" customHeight="1" x14ac:dyDescent="0.2">
      <c r="A272" s="140" t="s">
        <v>25</v>
      </c>
      <c r="B272" s="351" t="s">
        <v>334</v>
      </c>
      <c r="C272" s="351"/>
      <c r="D272" s="141" t="s">
        <v>319</v>
      </c>
      <c r="E272" s="68">
        <v>0</v>
      </c>
      <c r="F272" s="68">
        <v>1</v>
      </c>
      <c r="G272" s="68">
        <v>1</v>
      </c>
      <c r="H272" s="68">
        <f t="shared" si="128"/>
        <v>2</v>
      </c>
      <c r="I272" s="237"/>
      <c r="J272" s="90">
        <f t="shared" si="129"/>
        <v>0</v>
      </c>
      <c r="K272" s="176"/>
      <c r="L272" s="176"/>
      <c r="M272" s="176"/>
      <c r="N272" s="176"/>
      <c r="O272" s="176"/>
      <c r="P272" s="176"/>
      <c r="Q272" s="176"/>
      <c r="R272" s="176"/>
      <c r="S272" s="176"/>
      <c r="T272" s="176"/>
      <c r="U272" s="176"/>
      <c r="V272" s="176"/>
      <c r="W272" s="176"/>
      <c r="X272" s="176"/>
      <c r="Y272" s="176"/>
      <c r="Z272" s="176"/>
      <c r="AA272" s="176"/>
      <c r="AB272" s="176"/>
      <c r="AC272" s="176"/>
      <c r="AD272" s="176"/>
      <c r="AE272" s="176"/>
      <c r="AF272" s="176"/>
      <c r="AG272" s="176"/>
      <c r="AH272" s="176"/>
      <c r="AI272" s="176"/>
      <c r="AJ272" s="176"/>
      <c r="AK272" s="176"/>
      <c r="AL272" s="176"/>
      <c r="AM272" s="176"/>
      <c r="AN272" s="176"/>
      <c r="AO272" s="176"/>
      <c r="AP272" s="176"/>
      <c r="AQ272" s="176"/>
      <c r="AR272" s="176"/>
      <c r="AS272" s="176"/>
      <c r="AT272" s="172"/>
    </row>
    <row r="273" spans="1:46" s="67" customFormat="1" ht="24.95" customHeight="1" x14ac:dyDescent="0.2">
      <c r="A273" s="139" t="s">
        <v>320</v>
      </c>
      <c r="B273" s="276" t="s">
        <v>335</v>
      </c>
      <c r="C273" s="276"/>
      <c r="D273" s="50" t="s">
        <v>12</v>
      </c>
      <c r="E273" s="68">
        <f t="shared" ref="E273:F273" si="144">0.04*E253</f>
        <v>0</v>
      </c>
      <c r="F273" s="68">
        <f t="shared" si="144"/>
        <v>1.8</v>
      </c>
      <c r="G273" s="68">
        <f>0.04*G253</f>
        <v>1.1200000000000001</v>
      </c>
      <c r="H273" s="68">
        <f t="shared" si="128"/>
        <v>2.92</v>
      </c>
      <c r="I273" s="236"/>
      <c r="J273" s="90">
        <f t="shared" si="129"/>
        <v>0</v>
      </c>
      <c r="K273" s="176"/>
      <c r="L273" s="176"/>
      <c r="M273" s="176"/>
      <c r="N273" s="176"/>
      <c r="O273" s="176"/>
      <c r="P273" s="176"/>
      <c r="Q273" s="176"/>
      <c r="R273" s="176"/>
      <c r="S273" s="176"/>
      <c r="T273" s="176"/>
      <c r="U273" s="176"/>
      <c r="V273" s="176"/>
      <c r="W273" s="176"/>
      <c r="X273" s="176"/>
      <c r="Y273" s="176"/>
      <c r="Z273" s="176"/>
      <c r="AA273" s="176"/>
      <c r="AB273" s="176"/>
      <c r="AC273" s="176"/>
      <c r="AD273" s="176"/>
      <c r="AE273" s="176"/>
      <c r="AF273" s="176"/>
      <c r="AG273" s="176"/>
      <c r="AH273" s="176"/>
      <c r="AI273" s="176"/>
      <c r="AJ273" s="176"/>
      <c r="AK273" s="176"/>
      <c r="AL273" s="176"/>
      <c r="AM273" s="176"/>
      <c r="AN273" s="176"/>
      <c r="AO273" s="176"/>
      <c r="AP273" s="176"/>
      <c r="AQ273" s="176"/>
      <c r="AR273" s="176"/>
      <c r="AS273" s="176"/>
      <c r="AT273" s="172"/>
    </row>
    <row r="274" spans="1:46" s="67" customFormat="1" ht="24.95" customHeight="1" x14ac:dyDescent="0.2">
      <c r="A274" s="139" t="s">
        <v>25</v>
      </c>
      <c r="B274" s="278" t="s">
        <v>336</v>
      </c>
      <c r="C274" s="278"/>
      <c r="D274" s="50" t="s">
        <v>12</v>
      </c>
      <c r="E274" s="68">
        <f t="shared" ref="E274:F274" si="145">E273</f>
        <v>0</v>
      </c>
      <c r="F274" s="68">
        <f t="shared" si="145"/>
        <v>1.8</v>
      </c>
      <c r="G274" s="68">
        <f>G273</f>
        <v>1.1200000000000001</v>
      </c>
      <c r="H274" s="68">
        <f t="shared" si="128"/>
        <v>2.92</v>
      </c>
      <c r="I274" s="236"/>
      <c r="J274" s="90">
        <f t="shared" si="129"/>
        <v>0</v>
      </c>
      <c r="K274" s="176"/>
      <c r="L274" s="176"/>
      <c r="M274" s="176"/>
      <c r="N274" s="176"/>
      <c r="O274" s="176"/>
      <c r="P274" s="176"/>
      <c r="Q274" s="176"/>
      <c r="R274" s="176"/>
      <c r="S274" s="176"/>
      <c r="T274" s="176"/>
      <c r="U274" s="176"/>
      <c r="V274" s="176"/>
      <c r="W274" s="176"/>
      <c r="X274" s="176"/>
      <c r="Y274" s="176"/>
      <c r="Z274" s="176"/>
      <c r="AA274" s="176"/>
      <c r="AB274" s="176"/>
      <c r="AC274" s="176"/>
      <c r="AD274" s="176"/>
      <c r="AE274" s="176"/>
      <c r="AF274" s="176"/>
      <c r="AG274" s="176"/>
      <c r="AH274" s="176"/>
      <c r="AI274" s="176"/>
      <c r="AJ274" s="176"/>
      <c r="AK274" s="176"/>
      <c r="AL274" s="176"/>
      <c r="AM274" s="176"/>
      <c r="AN274" s="176"/>
      <c r="AO274" s="176"/>
      <c r="AP274" s="176"/>
      <c r="AQ274" s="176"/>
      <c r="AR274" s="176"/>
      <c r="AS274" s="176"/>
      <c r="AT274" s="172"/>
    </row>
    <row r="275" spans="1:46" s="67" customFormat="1" ht="24.95" customHeight="1" x14ac:dyDescent="0.2">
      <c r="A275" s="139" t="s">
        <v>323</v>
      </c>
      <c r="B275" s="276" t="s">
        <v>324</v>
      </c>
      <c r="C275" s="276"/>
      <c r="D275" s="50" t="s">
        <v>11</v>
      </c>
      <c r="E275" s="68">
        <f t="shared" ref="E275:F275" si="146">E253</f>
        <v>0</v>
      </c>
      <c r="F275" s="68">
        <f t="shared" si="146"/>
        <v>45</v>
      </c>
      <c r="G275" s="68">
        <f>G253</f>
        <v>28</v>
      </c>
      <c r="H275" s="68">
        <f t="shared" si="128"/>
        <v>73</v>
      </c>
      <c r="I275" s="236"/>
      <c r="J275" s="90">
        <f t="shared" si="129"/>
        <v>0</v>
      </c>
      <c r="K275" s="176"/>
      <c r="L275" s="176"/>
      <c r="M275" s="176"/>
      <c r="N275" s="176"/>
      <c r="O275" s="176"/>
      <c r="P275" s="176"/>
      <c r="Q275" s="176"/>
      <c r="R275" s="176"/>
      <c r="S275" s="176"/>
      <c r="T275" s="176"/>
      <c r="U275" s="176"/>
      <c r="V275" s="176"/>
      <c r="W275" s="176"/>
      <c r="X275" s="176"/>
      <c r="Y275" s="176"/>
      <c r="Z275" s="176"/>
      <c r="AA275" s="176"/>
      <c r="AB275" s="176"/>
      <c r="AC275" s="176"/>
      <c r="AD275" s="176"/>
      <c r="AE275" s="176"/>
      <c r="AF275" s="176"/>
      <c r="AG275" s="176"/>
      <c r="AH275" s="176"/>
      <c r="AI275" s="176"/>
      <c r="AJ275" s="176"/>
      <c r="AK275" s="176"/>
      <c r="AL275" s="176"/>
      <c r="AM275" s="176"/>
      <c r="AN275" s="176"/>
      <c r="AO275" s="176"/>
      <c r="AP275" s="176"/>
      <c r="AQ275" s="176"/>
      <c r="AR275" s="176"/>
      <c r="AS275" s="176"/>
      <c r="AT275" s="172"/>
    </row>
    <row r="276" spans="1:46" s="67" customFormat="1" ht="24.95" customHeight="1" x14ac:dyDescent="0.2">
      <c r="A276" s="139" t="s">
        <v>26</v>
      </c>
      <c r="B276" s="276" t="s">
        <v>337</v>
      </c>
      <c r="C276" s="276"/>
      <c r="D276" s="50" t="s">
        <v>21</v>
      </c>
      <c r="E276" s="68">
        <f t="shared" ref="E276:F276" si="147">0.04*E253*2</f>
        <v>0</v>
      </c>
      <c r="F276" s="68">
        <f t="shared" si="147"/>
        <v>3.6</v>
      </c>
      <c r="G276" s="68">
        <f>0.04*G253*2</f>
        <v>2.2400000000000002</v>
      </c>
      <c r="H276" s="68">
        <f t="shared" si="128"/>
        <v>5.84</v>
      </c>
      <c r="I276" s="236"/>
      <c r="J276" s="90">
        <f t="shared" si="129"/>
        <v>0</v>
      </c>
      <c r="K276" s="176"/>
      <c r="L276" s="176"/>
      <c r="M276" s="176"/>
      <c r="N276" s="176"/>
      <c r="O276" s="176"/>
      <c r="P276" s="176"/>
      <c r="Q276" s="176"/>
      <c r="R276" s="176"/>
      <c r="S276" s="176"/>
      <c r="T276" s="176"/>
      <c r="U276" s="176"/>
      <c r="V276" s="176"/>
      <c r="W276" s="176"/>
      <c r="X276" s="176"/>
      <c r="Y276" s="176"/>
      <c r="Z276" s="176"/>
      <c r="AA276" s="176"/>
      <c r="AB276" s="176"/>
      <c r="AC276" s="176"/>
      <c r="AD276" s="176"/>
      <c r="AE276" s="176"/>
      <c r="AF276" s="176"/>
      <c r="AG276" s="176"/>
      <c r="AH276" s="176"/>
      <c r="AI276" s="176"/>
      <c r="AJ276" s="176"/>
      <c r="AK276" s="176"/>
      <c r="AL276" s="176"/>
      <c r="AM276" s="176"/>
      <c r="AN276" s="176"/>
      <c r="AO276" s="176"/>
      <c r="AP276" s="176"/>
      <c r="AQ276" s="176"/>
      <c r="AR276" s="176"/>
      <c r="AS276" s="176"/>
      <c r="AT276" s="172"/>
    </row>
    <row r="277" spans="1:46" s="146" customFormat="1" ht="24.95" customHeight="1" x14ac:dyDescent="0.2">
      <c r="A277" s="148"/>
      <c r="B277" s="284" t="s">
        <v>338</v>
      </c>
      <c r="C277" s="284"/>
      <c r="D277" s="142" t="s">
        <v>11</v>
      </c>
      <c r="E277" s="144">
        <f t="shared" ref="E277:F279" si="148">E253*3</f>
        <v>0</v>
      </c>
      <c r="F277" s="144">
        <f t="shared" si="148"/>
        <v>135</v>
      </c>
      <c r="G277" s="144">
        <f>G253*3</f>
        <v>84</v>
      </c>
      <c r="H277" s="144">
        <f t="shared" si="128"/>
        <v>219</v>
      </c>
      <c r="I277" s="238"/>
      <c r="J277" s="145">
        <f t="shared" si="129"/>
        <v>0</v>
      </c>
      <c r="K277" s="176"/>
      <c r="L277" s="176"/>
      <c r="M277" s="176"/>
      <c r="N277" s="176"/>
      <c r="O277" s="176"/>
      <c r="P277" s="176"/>
      <c r="Q277" s="176"/>
      <c r="R277" s="176"/>
      <c r="S277" s="176"/>
      <c r="T277" s="176"/>
      <c r="U277" s="176"/>
      <c r="V277" s="176"/>
      <c r="W277" s="176"/>
      <c r="X277" s="176"/>
      <c r="Y277" s="176"/>
      <c r="Z277" s="176"/>
      <c r="AA277" s="176"/>
      <c r="AB277" s="176"/>
      <c r="AC277" s="176"/>
      <c r="AD277" s="176"/>
      <c r="AE277" s="176"/>
      <c r="AF277" s="176"/>
      <c r="AG277" s="176"/>
      <c r="AH277" s="176"/>
      <c r="AI277" s="176"/>
      <c r="AJ277" s="176"/>
      <c r="AK277" s="176"/>
      <c r="AL277" s="176"/>
      <c r="AM277" s="176"/>
      <c r="AN277" s="176"/>
      <c r="AO277" s="176"/>
      <c r="AP277" s="176"/>
      <c r="AQ277" s="176"/>
      <c r="AR277" s="176"/>
      <c r="AS277" s="176"/>
      <c r="AT277" s="173"/>
    </row>
    <row r="278" spans="1:46" s="146" customFormat="1" ht="24.95" customHeight="1" x14ac:dyDescent="0.2">
      <c r="A278" s="142" t="s">
        <v>25</v>
      </c>
      <c r="B278" s="277" t="s">
        <v>241</v>
      </c>
      <c r="C278" s="277"/>
      <c r="D278" s="142" t="s">
        <v>135</v>
      </c>
      <c r="E278" s="144">
        <f t="shared" si="148"/>
        <v>0</v>
      </c>
      <c r="F278" s="144">
        <v>75</v>
      </c>
      <c r="G278" s="144">
        <v>49</v>
      </c>
      <c r="H278" s="144">
        <f t="shared" si="128"/>
        <v>124</v>
      </c>
      <c r="I278" s="239"/>
      <c r="J278" s="145">
        <f t="shared" si="129"/>
        <v>0</v>
      </c>
      <c r="K278" s="176"/>
      <c r="L278" s="176"/>
      <c r="M278" s="176"/>
      <c r="N278" s="176"/>
      <c r="O278" s="176"/>
      <c r="P278" s="176"/>
      <c r="Q278" s="176"/>
      <c r="R278" s="176"/>
      <c r="S278" s="176"/>
      <c r="T278" s="176"/>
      <c r="U278" s="176"/>
      <c r="V278" s="176"/>
      <c r="W278" s="176"/>
      <c r="X278" s="176"/>
      <c r="Y278" s="176"/>
      <c r="Z278" s="176"/>
      <c r="AA278" s="176"/>
      <c r="AB278" s="176"/>
      <c r="AC278" s="176"/>
      <c r="AD278" s="176"/>
      <c r="AE278" s="176"/>
      <c r="AF278" s="176"/>
      <c r="AG278" s="176"/>
      <c r="AH278" s="176"/>
      <c r="AI278" s="176"/>
      <c r="AJ278" s="176"/>
      <c r="AK278" s="176"/>
      <c r="AL278" s="176"/>
      <c r="AM278" s="176"/>
      <c r="AN278" s="176"/>
      <c r="AO278" s="176"/>
      <c r="AP278" s="176"/>
      <c r="AQ278" s="176"/>
      <c r="AR278" s="176"/>
      <c r="AS278" s="176"/>
      <c r="AT278" s="173"/>
    </row>
    <row r="279" spans="1:46" s="146" customFormat="1" ht="24.95" customHeight="1" x14ac:dyDescent="0.2">
      <c r="A279" s="142" t="s">
        <v>26</v>
      </c>
      <c r="B279" s="277" t="s">
        <v>242</v>
      </c>
      <c r="C279" s="277"/>
      <c r="D279" s="142" t="s">
        <v>135</v>
      </c>
      <c r="E279" s="144">
        <f t="shared" si="148"/>
        <v>0</v>
      </c>
      <c r="F279" s="144">
        <v>75</v>
      </c>
      <c r="G279" s="144">
        <v>49</v>
      </c>
      <c r="H279" s="144">
        <f t="shared" si="128"/>
        <v>124</v>
      </c>
      <c r="I279" s="239"/>
      <c r="J279" s="145">
        <f t="shared" si="129"/>
        <v>0</v>
      </c>
      <c r="K279" s="176"/>
      <c r="L279" s="176"/>
      <c r="M279" s="176"/>
      <c r="N279" s="176"/>
      <c r="O279" s="176"/>
      <c r="P279" s="176"/>
      <c r="Q279" s="176"/>
      <c r="R279" s="176"/>
      <c r="S279" s="176"/>
      <c r="T279" s="176"/>
      <c r="U279" s="176"/>
      <c r="V279" s="176"/>
      <c r="W279" s="176"/>
      <c r="X279" s="176"/>
      <c r="Y279" s="176"/>
      <c r="Z279" s="176"/>
      <c r="AA279" s="176"/>
      <c r="AB279" s="176"/>
      <c r="AC279" s="176"/>
      <c r="AD279" s="176"/>
      <c r="AE279" s="176"/>
      <c r="AF279" s="176"/>
      <c r="AG279" s="176"/>
      <c r="AH279" s="176"/>
      <c r="AI279" s="176"/>
      <c r="AJ279" s="176"/>
      <c r="AK279" s="176"/>
      <c r="AL279" s="176"/>
      <c r="AM279" s="176"/>
      <c r="AN279" s="176"/>
      <c r="AO279" s="176"/>
      <c r="AP279" s="176"/>
      <c r="AQ279" s="176"/>
      <c r="AR279" s="176"/>
      <c r="AS279" s="176"/>
      <c r="AT279" s="173"/>
    </row>
    <row r="280" spans="1:46" s="61" customFormat="1" ht="35.1" customHeight="1" x14ac:dyDescent="0.2">
      <c r="A280" s="212"/>
      <c r="B280" s="283" t="s">
        <v>340</v>
      </c>
      <c r="C280" s="283"/>
      <c r="D280" s="283"/>
      <c r="E280" s="283"/>
      <c r="F280" s="283"/>
      <c r="G280" s="283"/>
      <c r="H280" s="283"/>
      <c r="I280" s="283"/>
      <c r="J280" s="213">
        <f>SUM(J253:J279)</f>
        <v>0</v>
      </c>
      <c r="K280" s="176"/>
      <c r="L280" s="176"/>
      <c r="M280" s="176"/>
      <c r="N280" s="176"/>
      <c r="O280" s="176"/>
      <c r="P280" s="176"/>
      <c r="Q280" s="176"/>
      <c r="R280" s="176"/>
      <c r="S280" s="176"/>
      <c r="T280" s="176"/>
      <c r="U280" s="176"/>
      <c r="V280" s="176"/>
      <c r="W280" s="176"/>
      <c r="X280" s="176"/>
      <c r="Y280" s="176"/>
      <c r="Z280" s="176"/>
      <c r="AA280" s="176"/>
      <c r="AB280" s="176"/>
      <c r="AC280" s="176"/>
      <c r="AD280" s="176"/>
      <c r="AE280" s="176"/>
      <c r="AF280" s="176"/>
      <c r="AG280" s="176"/>
      <c r="AH280" s="176"/>
      <c r="AI280" s="176"/>
      <c r="AJ280" s="176"/>
      <c r="AK280" s="176"/>
      <c r="AL280" s="176"/>
      <c r="AM280" s="176"/>
      <c r="AN280" s="176"/>
      <c r="AO280" s="176"/>
      <c r="AP280" s="176"/>
      <c r="AQ280" s="176"/>
      <c r="AR280" s="176"/>
      <c r="AS280" s="176"/>
    </row>
    <row r="281" spans="1:46" s="150" customFormat="1" ht="31.5" customHeight="1" x14ac:dyDescent="0.2">
      <c r="A281" s="149"/>
      <c r="B281" s="269" t="s">
        <v>341</v>
      </c>
      <c r="C281" s="269"/>
      <c r="D281" s="269"/>
      <c r="E281" s="269"/>
      <c r="F281" s="269"/>
      <c r="G281" s="269"/>
      <c r="H281" s="269"/>
      <c r="I281" s="269"/>
      <c r="J281" s="269"/>
      <c r="K281" s="176"/>
      <c r="L281" s="176"/>
      <c r="M281" s="176"/>
      <c r="N281" s="176"/>
      <c r="O281" s="176"/>
      <c r="P281" s="176"/>
      <c r="Q281" s="176"/>
      <c r="R281" s="176"/>
      <c r="S281" s="176"/>
      <c r="T281" s="176"/>
      <c r="U281" s="176"/>
      <c r="V281" s="176"/>
      <c r="W281" s="176"/>
      <c r="X281" s="176"/>
      <c r="Y281" s="176"/>
      <c r="Z281" s="176"/>
      <c r="AA281" s="176"/>
      <c r="AB281" s="176"/>
      <c r="AC281" s="176"/>
      <c r="AD281" s="176"/>
      <c r="AE281" s="176"/>
      <c r="AF281" s="176"/>
      <c r="AG281" s="176"/>
      <c r="AH281" s="176"/>
      <c r="AI281" s="176"/>
      <c r="AJ281" s="176"/>
      <c r="AK281" s="176"/>
      <c r="AL281" s="176"/>
      <c r="AM281" s="176"/>
      <c r="AN281" s="176"/>
      <c r="AO281" s="176"/>
      <c r="AP281" s="176"/>
      <c r="AQ281" s="176"/>
      <c r="AR281" s="176"/>
      <c r="AS281" s="176"/>
      <c r="AT281" s="174"/>
    </row>
    <row r="282" spans="1:46" s="48" customFormat="1" ht="24.95" customHeight="1" x14ac:dyDescent="0.25">
      <c r="A282" s="241"/>
      <c r="B282" s="242" t="s">
        <v>8</v>
      </c>
      <c r="C282" s="242"/>
      <c r="D282" s="242" t="s">
        <v>186</v>
      </c>
      <c r="E282" s="243" t="s">
        <v>100</v>
      </c>
      <c r="F282" s="243"/>
      <c r="G282" s="243"/>
      <c r="H282" s="243"/>
      <c r="I282" s="244" t="s">
        <v>4</v>
      </c>
      <c r="J282" s="245" t="s">
        <v>101</v>
      </c>
      <c r="K282" s="176"/>
      <c r="L282" s="176"/>
      <c r="M282" s="176"/>
      <c r="N282" s="176"/>
      <c r="O282" s="176"/>
      <c r="P282" s="176"/>
      <c r="Q282" s="176"/>
      <c r="R282" s="176"/>
      <c r="S282" s="176"/>
      <c r="T282" s="176"/>
      <c r="U282" s="176"/>
      <c r="V282" s="176"/>
      <c r="W282" s="176"/>
      <c r="X282" s="176"/>
      <c r="Y282" s="176"/>
      <c r="Z282" s="176"/>
      <c r="AA282" s="176"/>
      <c r="AB282" s="176"/>
      <c r="AC282" s="176"/>
      <c r="AD282" s="176"/>
      <c r="AE282" s="176"/>
      <c r="AF282" s="176"/>
      <c r="AG282" s="176"/>
      <c r="AH282" s="176"/>
      <c r="AI282" s="176"/>
      <c r="AJ282" s="176"/>
      <c r="AK282" s="176"/>
      <c r="AL282" s="176"/>
      <c r="AM282" s="176"/>
      <c r="AN282" s="176"/>
      <c r="AO282" s="176"/>
      <c r="AP282" s="176"/>
      <c r="AQ282" s="176"/>
      <c r="AR282" s="176"/>
      <c r="AS282" s="176"/>
    </row>
    <row r="283" spans="1:46" s="7" customFormat="1" ht="24.95" customHeight="1" x14ac:dyDescent="0.25">
      <c r="A283" s="241"/>
      <c r="B283" s="242"/>
      <c r="C283" s="242"/>
      <c r="D283" s="242"/>
      <c r="E283" s="138" t="s">
        <v>244</v>
      </c>
      <c r="F283" s="138" t="s">
        <v>245</v>
      </c>
      <c r="G283" s="138" t="s">
        <v>246</v>
      </c>
      <c r="H283" s="177" t="s">
        <v>9</v>
      </c>
      <c r="I283" s="244"/>
      <c r="J283" s="245"/>
      <c r="K283" s="176"/>
      <c r="L283" s="176"/>
      <c r="M283" s="176"/>
      <c r="N283" s="176"/>
      <c r="O283" s="176"/>
      <c r="P283" s="176"/>
      <c r="Q283" s="176"/>
      <c r="R283" s="176"/>
      <c r="S283" s="176"/>
      <c r="T283" s="176"/>
      <c r="U283" s="176"/>
      <c r="V283" s="176"/>
      <c r="W283" s="176"/>
      <c r="X283" s="176"/>
      <c r="Y283" s="176"/>
      <c r="Z283" s="176"/>
      <c r="AA283" s="176"/>
      <c r="AB283" s="176"/>
      <c r="AC283" s="176"/>
      <c r="AD283" s="176"/>
      <c r="AE283" s="176"/>
      <c r="AF283" s="176"/>
      <c r="AG283" s="176"/>
      <c r="AH283" s="176"/>
      <c r="AI283" s="176"/>
      <c r="AJ283" s="176"/>
      <c r="AK283" s="176"/>
      <c r="AL283" s="176"/>
      <c r="AM283" s="176"/>
      <c r="AN283" s="176"/>
      <c r="AO283" s="176"/>
      <c r="AP283" s="176"/>
      <c r="AQ283" s="176"/>
      <c r="AR283" s="176"/>
      <c r="AS283" s="176"/>
    </row>
    <row r="284" spans="1:46" s="150" customFormat="1" ht="24.95" customHeight="1" x14ac:dyDescent="0.2">
      <c r="A284" s="65" t="s">
        <v>26</v>
      </c>
      <c r="B284" s="286" t="s">
        <v>342</v>
      </c>
      <c r="C284" s="286"/>
      <c r="D284" s="151" t="s">
        <v>10</v>
      </c>
      <c r="E284" s="107">
        <v>0</v>
      </c>
      <c r="F284" s="107">
        <v>5</v>
      </c>
      <c r="G284" s="107">
        <v>0</v>
      </c>
      <c r="H284" s="107">
        <f>SUM(E284:G284)</f>
        <v>5</v>
      </c>
      <c r="I284" s="239"/>
      <c r="J284" s="152">
        <f>H284*I284</f>
        <v>0</v>
      </c>
      <c r="K284" s="176"/>
      <c r="L284" s="176"/>
      <c r="M284" s="176"/>
      <c r="N284" s="176"/>
      <c r="O284" s="176"/>
      <c r="P284" s="176"/>
      <c r="Q284" s="176"/>
      <c r="R284" s="176"/>
      <c r="S284" s="176"/>
      <c r="T284" s="176"/>
      <c r="U284" s="176"/>
      <c r="V284" s="176"/>
      <c r="W284" s="176"/>
      <c r="X284" s="176"/>
      <c r="Y284" s="176"/>
      <c r="Z284" s="176"/>
      <c r="AA284" s="176"/>
      <c r="AB284" s="176"/>
      <c r="AC284" s="176"/>
      <c r="AD284" s="176"/>
      <c r="AE284" s="176"/>
      <c r="AF284" s="176"/>
      <c r="AG284" s="176"/>
      <c r="AH284" s="176"/>
      <c r="AI284" s="176"/>
      <c r="AJ284" s="176"/>
      <c r="AK284" s="176"/>
      <c r="AL284" s="176"/>
      <c r="AM284" s="176"/>
      <c r="AN284" s="176"/>
      <c r="AO284" s="176"/>
      <c r="AP284" s="176"/>
      <c r="AQ284" s="176"/>
      <c r="AR284" s="176"/>
      <c r="AS284" s="176"/>
      <c r="AT284" s="174"/>
    </row>
    <row r="285" spans="1:46" s="150" customFormat="1" ht="24.95" customHeight="1" x14ac:dyDescent="0.2">
      <c r="A285" s="65" t="s">
        <v>343</v>
      </c>
      <c r="B285" s="286" t="s">
        <v>344</v>
      </c>
      <c r="C285" s="286"/>
      <c r="D285" s="151" t="s">
        <v>10</v>
      </c>
      <c r="E285" s="107">
        <v>0</v>
      </c>
      <c r="F285" s="107">
        <v>10</v>
      </c>
      <c r="G285" s="107">
        <v>0</v>
      </c>
      <c r="H285" s="107">
        <f t="shared" ref="H285:H290" si="149">SUM(E285:G285)</f>
        <v>10</v>
      </c>
      <c r="I285" s="239"/>
      <c r="J285" s="152">
        <f t="shared" ref="J285:J287" si="150">H285*I285</f>
        <v>0</v>
      </c>
      <c r="K285" s="176"/>
      <c r="L285" s="176"/>
      <c r="M285" s="176"/>
      <c r="N285" s="176"/>
      <c r="O285" s="176"/>
      <c r="P285" s="176"/>
      <c r="Q285" s="176"/>
      <c r="R285" s="176"/>
      <c r="S285" s="176"/>
      <c r="T285" s="176"/>
      <c r="U285" s="176"/>
      <c r="V285" s="176"/>
      <c r="W285" s="176"/>
      <c r="X285" s="176"/>
      <c r="Y285" s="176"/>
      <c r="Z285" s="176"/>
      <c r="AA285" s="176"/>
      <c r="AB285" s="176"/>
      <c r="AC285" s="176"/>
      <c r="AD285" s="176"/>
      <c r="AE285" s="176"/>
      <c r="AF285" s="176"/>
      <c r="AG285" s="176"/>
      <c r="AH285" s="176"/>
      <c r="AI285" s="176"/>
      <c r="AJ285" s="176"/>
      <c r="AK285" s="176"/>
      <c r="AL285" s="176"/>
      <c r="AM285" s="176"/>
      <c r="AN285" s="176"/>
      <c r="AO285" s="176"/>
      <c r="AP285" s="176"/>
      <c r="AQ285" s="176"/>
      <c r="AR285" s="176"/>
      <c r="AS285" s="176"/>
      <c r="AT285" s="174"/>
    </row>
    <row r="286" spans="1:46" s="150" customFormat="1" ht="24.95" customHeight="1" x14ac:dyDescent="0.2">
      <c r="A286" s="109" t="s">
        <v>25</v>
      </c>
      <c r="B286" s="285" t="s">
        <v>345</v>
      </c>
      <c r="C286" s="285"/>
      <c r="D286" s="151" t="s">
        <v>10</v>
      </c>
      <c r="E286" s="107">
        <v>0</v>
      </c>
      <c r="F286" s="107">
        <v>5</v>
      </c>
      <c r="G286" s="107">
        <v>0</v>
      </c>
      <c r="H286" s="107">
        <f t="shared" si="149"/>
        <v>5</v>
      </c>
      <c r="I286" s="239"/>
      <c r="J286" s="152">
        <f t="shared" si="150"/>
        <v>0</v>
      </c>
      <c r="K286" s="176"/>
      <c r="L286" s="176"/>
      <c r="M286" s="176"/>
      <c r="N286" s="176"/>
      <c r="O286" s="176"/>
      <c r="P286" s="176"/>
      <c r="Q286" s="176"/>
      <c r="R286" s="176"/>
      <c r="S286" s="176"/>
      <c r="T286" s="176"/>
      <c r="U286" s="176"/>
      <c r="V286" s="176"/>
      <c r="W286" s="176"/>
      <c r="X286" s="176"/>
      <c r="Y286" s="176"/>
      <c r="Z286" s="176"/>
      <c r="AA286" s="176"/>
      <c r="AB286" s="176"/>
      <c r="AC286" s="176"/>
      <c r="AD286" s="176"/>
      <c r="AE286" s="176"/>
      <c r="AF286" s="176"/>
      <c r="AG286" s="176"/>
      <c r="AH286" s="176"/>
      <c r="AI286" s="176"/>
      <c r="AJ286" s="176"/>
      <c r="AK286" s="176"/>
      <c r="AL286" s="176"/>
      <c r="AM286" s="176"/>
      <c r="AN286" s="176"/>
      <c r="AO286" s="176"/>
      <c r="AP286" s="176"/>
      <c r="AQ286" s="176"/>
      <c r="AR286" s="176"/>
      <c r="AS286" s="176"/>
      <c r="AT286" s="174"/>
    </row>
    <row r="287" spans="1:46" s="150" customFormat="1" ht="24.95" customHeight="1" x14ac:dyDescent="0.2">
      <c r="A287" s="65" t="s">
        <v>26</v>
      </c>
      <c r="B287" s="286" t="s">
        <v>346</v>
      </c>
      <c r="C287" s="286"/>
      <c r="D287" s="151" t="s">
        <v>10</v>
      </c>
      <c r="E287" s="107">
        <v>0</v>
      </c>
      <c r="F287" s="107">
        <v>1</v>
      </c>
      <c r="G287" s="107">
        <v>0</v>
      </c>
      <c r="H287" s="107">
        <f t="shared" si="149"/>
        <v>1</v>
      </c>
      <c r="I287" s="239"/>
      <c r="J287" s="152">
        <f t="shared" si="150"/>
        <v>0</v>
      </c>
      <c r="K287" s="176"/>
      <c r="L287" s="176"/>
      <c r="M287" s="176"/>
      <c r="N287" s="176"/>
      <c r="O287" s="176"/>
      <c r="P287" s="176"/>
      <c r="Q287" s="176"/>
      <c r="R287" s="176"/>
      <c r="S287" s="176"/>
      <c r="T287" s="176"/>
      <c r="U287" s="176"/>
      <c r="V287" s="176"/>
      <c r="W287" s="176"/>
      <c r="X287" s="176"/>
      <c r="Y287" s="176"/>
      <c r="Z287" s="176"/>
      <c r="AA287" s="176"/>
      <c r="AB287" s="176"/>
      <c r="AC287" s="176"/>
      <c r="AD287" s="176"/>
      <c r="AE287" s="176"/>
      <c r="AF287" s="176"/>
      <c r="AG287" s="176"/>
      <c r="AH287" s="176"/>
      <c r="AI287" s="176"/>
      <c r="AJ287" s="176"/>
      <c r="AK287" s="176"/>
      <c r="AL287" s="176"/>
      <c r="AM287" s="176"/>
      <c r="AN287" s="176"/>
      <c r="AO287" s="176"/>
      <c r="AP287" s="176"/>
      <c r="AQ287" s="176"/>
      <c r="AR287" s="176"/>
      <c r="AS287" s="176"/>
      <c r="AT287" s="174"/>
    </row>
    <row r="288" spans="1:46" s="150" customFormat="1" ht="24.95" customHeight="1" x14ac:dyDescent="0.2">
      <c r="A288" s="65" t="s">
        <v>26</v>
      </c>
      <c r="B288" s="285" t="s">
        <v>350</v>
      </c>
      <c r="C288" s="286"/>
      <c r="D288" s="151" t="s">
        <v>10</v>
      </c>
      <c r="E288" s="107">
        <v>0</v>
      </c>
      <c r="F288" s="107">
        <v>2</v>
      </c>
      <c r="G288" s="107">
        <v>0</v>
      </c>
      <c r="H288" s="107">
        <f t="shared" si="149"/>
        <v>2</v>
      </c>
      <c r="I288" s="239"/>
      <c r="J288" s="152">
        <f t="shared" ref="J288" si="151">H288*I288</f>
        <v>0</v>
      </c>
      <c r="K288" s="176"/>
      <c r="L288" s="176"/>
      <c r="M288" s="176"/>
      <c r="N288" s="176"/>
      <c r="O288" s="176"/>
      <c r="P288" s="176"/>
      <c r="Q288" s="176"/>
      <c r="R288" s="176"/>
      <c r="S288" s="176"/>
      <c r="T288" s="176"/>
      <c r="U288" s="176"/>
      <c r="V288" s="176"/>
      <c r="W288" s="176"/>
      <c r="X288" s="176"/>
      <c r="Y288" s="176"/>
      <c r="Z288" s="176"/>
      <c r="AA288" s="176"/>
      <c r="AB288" s="176"/>
      <c r="AC288" s="176"/>
      <c r="AD288" s="176"/>
      <c r="AE288" s="176"/>
      <c r="AF288" s="176"/>
      <c r="AG288" s="176"/>
      <c r="AH288" s="176"/>
      <c r="AI288" s="176"/>
      <c r="AJ288" s="176"/>
      <c r="AK288" s="176"/>
      <c r="AL288" s="176"/>
      <c r="AM288" s="176"/>
      <c r="AN288" s="176"/>
      <c r="AO288" s="176"/>
      <c r="AP288" s="176"/>
      <c r="AQ288" s="176"/>
      <c r="AR288" s="176"/>
      <c r="AS288" s="176"/>
      <c r="AT288" s="174"/>
    </row>
    <row r="289" spans="1:46" s="150" customFormat="1" ht="29.25" customHeight="1" x14ac:dyDescent="0.2">
      <c r="A289" s="65" t="s">
        <v>343</v>
      </c>
      <c r="B289" s="286" t="s">
        <v>347</v>
      </c>
      <c r="C289" s="286"/>
      <c r="D289" s="151" t="s">
        <v>10</v>
      </c>
      <c r="E289" s="107">
        <v>0</v>
      </c>
      <c r="F289" s="107">
        <v>3</v>
      </c>
      <c r="G289" s="107">
        <v>0</v>
      </c>
      <c r="H289" s="107">
        <f t="shared" si="149"/>
        <v>3</v>
      </c>
      <c r="I289" s="239"/>
      <c r="J289" s="152">
        <f t="shared" ref="J289:J294" si="152">H289*I289</f>
        <v>0</v>
      </c>
      <c r="K289" s="176"/>
      <c r="L289" s="176"/>
      <c r="M289" s="176"/>
      <c r="N289" s="176"/>
      <c r="O289" s="176"/>
      <c r="P289" s="176"/>
      <c r="Q289" s="176"/>
      <c r="R289" s="176"/>
      <c r="S289" s="176"/>
      <c r="T289" s="176"/>
      <c r="U289" s="176"/>
      <c r="V289" s="176"/>
      <c r="W289" s="176"/>
      <c r="X289" s="176"/>
      <c r="Y289" s="176"/>
      <c r="Z289" s="176"/>
      <c r="AA289" s="176"/>
      <c r="AB289" s="176"/>
      <c r="AC289" s="176"/>
      <c r="AD289" s="176"/>
      <c r="AE289" s="176"/>
      <c r="AF289" s="176"/>
      <c r="AG289" s="176"/>
      <c r="AH289" s="176"/>
      <c r="AI289" s="176"/>
      <c r="AJ289" s="176"/>
      <c r="AK289" s="176"/>
      <c r="AL289" s="176"/>
      <c r="AM289" s="176"/>
      <c r="AN289" s="176"/>
      <c r="AO289" s="176"/>
      <c r="AP289" s="176"/>
      <c r="AQ289" s="176"/>
      <c r="AR289" s="176"/>
      <c r="AS289" s="176"/>
      <c r="AT289" s="174"/>
    </row>
    <row r="290" spans="1:46" s="153" customFormat="1" ht="29.25" customHeight="1" x14ac:dyDescent="0.2">
      <c r="A290" s="109" t="s">
        <v>25</v>
      </c>
      <c r="B290" s="285" t="s">
        <v>348</v>
      </c>
      <c r="C290" s="285"/>
      <c r="D290" s="151" t="s">
        <v>10</v>
      </c>
      <c r="E290" s="107">
        <v>0</v>
      </c>
      <c r="F290" s="107">
        <v>3</v>
      </c>
      <c r="G290" s="107">
        <v>0</v>
      </c>
      <c r="H290" s="107">
        <f t="shared" si="149"/>
        <v>3</v>
      </c>
      <c r="I290" s="239"/>
      <c r="J290" s="152">
        <f t="shared" si="152"/>
        <v>0</v>
      </c>
      <c r="K290" s="176"/>
      <c r="L290" s="176"/>
      <c r="M290" s="176"/>
      <c r="N290" s="176"/>
      <c r="O290" s="176"/>
      <c r="P290" s="176"/>
      <c r="Q290" s="176"/>
      <c r="R290" s="176"/>
      <c r="S290" s="176"/>
      <c r="T290" s="176"/>
      <c r="U290" s="176"/>
      <c r="V290" s="176"/>
      <c r="W290" s="176"/>
      <c r="X290" s="176"/>
      <c r="Y290" s="176"/>
      <c r="Z290" s="176"/>
      <c r="AA290" s="176"/>
      <c r="AB290" s="176"/>
      <c r="AC290" s="176"/>
      <c r="AD290" s="176"/>
      <c r="AE290" s="176"/>
      <c r="AF290" s="176"/>
      <c r="AG290" s="176"/>
      <c r="AH290" s="176"/>
      <c r="AI290" s="176"/>
      <c r="AJ290" s="176"/>
      <c r="AK290" s="176"/>
      <c r="AL290" s="176"/>
      <c r="AM290" s="176"/>
      <c r="AN290" s="176"/>
      <c r="AO290" s="176"/>
      <c r="AP290" s="176"/>
      <c r="AQ290" s="176"/>
      <c r="AR290" s="176"/>
      <c r="AS290" s="176"/>
    </row>
    <row r="291" spans="1:46" s="150" customFormat="1" ht="24.95" customHeight="1" x14ac:dyDescent="0.2">
      <c r="A291" s="65" t="s">
        <v>26</v>
      </c>
      <c r="B291" s="285" t="s">
        <v>351</v>
      </c>
      <c r="C291" s="286"/>
      <c r="D291" s="151" t="s">
        <v>10</v>
      </c>
      <c r="E291" s="107">
        <v>0</v>
      </c>
      <c r="F291" s="107">
        <v>0</v>
      </c>
      <c r="G291" s="107">
        <v>12</v>
      </c>
      <c r="H291" s="107">
        <f>SUM(E291:G291)</f>
        <v>12</v>
      </c>
      <c r="I291" s="239"/>
      <c r="J291" s="152">
        <f t="shared" si="152"/>
        <v>0</v>
      </c>
      <c r="K291" s="176"/>
      <c r="L291" s="176"/>
      <c r="M291" s="176"/>
      <c r="N291" s="176"/>
      <c r="O291" s="176"/>
      <c r="P291" s="176"/>
      <c r="Q291" s="176"/>
      <c r="R291" s="176"/>
      <c r="S291" s="176"/>
      <c r="T291" s="176"/>
      <c r="U291" s="176"/>
      <c r="V291" s="176"/>
      <c r="W291" s="176"/>
      <c r="X291" s="176"/>
      <c r="Y291" s="176"/>
      <c r="Z291" s="176"/>
      <c r="AA291" s="176"/>
      <c r="AB291" s="176"/>
      <c r="AC291" s="176"/>
      <c r="AD291" s="176"/>
      <c r="AE291" s="176"/>
      <c r="AF291" s="176"/>
      <c r="AG291" s="176"/>
      <c r="AH291" s="176"/>
      <c r="AI291" s="176"/>
      <c r="AJ291" s="176"/>
      <c r="AK291" s="176"/>
      <c r="AL291" s="176"/>
      <c r="AM291" s="176"/>
      <c r="AN291" s="176"/>
      <c r="AO291" s="176"/>
      <c r="AP291" s="176"/>
      <c r="AQ291" s="176"/>
      <c r="AR291" s="176"/>
      <c r="AS291" s="176"/>
      <c r="AT291" s="174"/>
    </row>
    <row r="292" spans="1:46" s="150" customFormat="1" ht="24.95" customHeight="1" x14ac:dyDescent="0.2">
      <c r="A292" s="109" t="s">
        <v>25</v>
      </c>
      <c r="B292" s="285" t="s">
        <v>371</v>
      </c>
      <c r="C292" s="285"/>
      <c r="D292" s="151" t="s">
        <v>10</v>
      </c>
      <c r="E292" s="107">
        <v>0</v>
      </c>
      <c r="F292" s="107">
        <v>0</v>
      </c>
      <c r="G292" s="107">
        <v>12</v>
      </c>
      <c r="H292" s="107">
        <f>SUM(E292:G292)</f>
        <v>12</v>
      </c>
      <c r="I292" s="239"/>
      <c r="J292" s="152">
        <f t="shared" si="152"/>
        <v>0</v>
      </c>
      <c r="K292" s="176"/>
      <c r="L292" s="176"/>
      <c r="M292" s="176"/>
      <c r="N292" s="176"/>
      <c r="O292" s="176"/>
      <c r="P292" s="176"/>
      <c r="Q292" s="176"/>
      <c r="R292" s="176"/>
      <c r="S292" s="176"/>
      <c r="T292" s="176"/>
      <c r="U292" s="176"/>
      <c r="V292" s="176"/>
      <c r="W292" s="176"/>
      <c r="X292" s="176"/>
      <c r="Y292" s="176"/>
      <c r="Z292" s="176"/>
      <c r="AA292" s="176"/>
      <c r="AB292" s="176"/>
      <c r="AC292" s="176"/>
      <c r="AD292" s="176"/>
      <c r="AE292" s="176"/>
      <c r="AF292" s="176"/>
      <c r="AG292" s="176"/>
      <c r="AH292" s="176"/>
      <c r="AI292" s="176"/>
      <c r="AJ292" s="176"/>
      <c r="AK292" s="176"/>
      <c r="AL292" s="176"/>
      <c r="AM292" s="176"/>
      <c r="AN292" s="176"/>
      <c r="AO292" s="176"/>
      <c r="AP292" s="176"/>
      <c r="AQ292" s="176"/>
      <c r="AR292" s="176"/>
      <c r="AS292" s="176"/>
      <c r="AT292" s="174"/>
    </row>
    <row r="293" spans="1:46" s="150" customFormat="1" ht="24.95" customHeight="1" x14ac:dyDescent="0.2">
      <c r="A293" s="65" t="s">
        <v>26</v>
      </c>
      <c r="B293" s="285" t="s">
        <v>352</v>
      </c>
      <c r="C293" s="286"/>
      <c r="D293" s="151" t="s">
        <v>10</v>
      </c>
      <c r="E293" s="107">
        <v>0</v>
      </c>
      <c r="F293" s="107">
        <v>0</v>
      </c>
      <c r="G293" s="107">
        <v>1</v>
      </c>
      <c r="H293" s="107">
        <f>SUM(E293:G293)</f>
        <v>1</v>
      </c>
      <c r="I293" s="239"/>
      <c r="J293" s="152">
        <f t="shared" si="152"/>
        <v>0</v>
      </c>
      <c r="K293" s="176"/>
      <c r="L293" s="176"/>
      <c r="M293" s="176"/>
      <c r="N293" s="176"/>
      <c r="O293" s="176"/>
      <c r="P293" s="176"/>
      <c r="Q293" s="176"/>
      <c r="R293" s="176"/>
      <c r="S293" s="176"/>
      <c r="T293" s="176"/>
      <c r="U293" s="176"/>
      <c r="V293" s="176"/>
      <c r="W293" s="176"/>
      <c r="X293" s="176"/>
      <c r="Y293" s="176"/>
      <c r="Z293" s="176"/>
      <c r="AA293" s="176"/>
      <c r="AB293" s="176"/>
      <c r="AC293" s="176"/>
      <c r="AD293" s="176"/>
      <c r="AE293" s="176"/>
      <c r="AF293" s="176"/>
      <c r="AG293" s="176"/>
      <c r="AH293" s="176"/>
      <c r="AI293" s="176"/>
      <c r="AJ293" s="176"/>
      <c r="AK293" s="176"/>
      <c r="AL293" s="176"/>
      <c r="AM293" s="176"/>
      <c r="AN293" s="176"/>
      <c r="AO293" s="176"/>
      <c r="AP293" s="176"/>
      <c r="AQ293" s="176"/>
      <c r="AR293" s="176"/>
      <c r="AS293" s="176"/>
      <c r="AT293" s="174"/>
    </row>
    <row r="294" spans="1:46" s="150" customFormat="1" ht="24.95" customHeight="1" x14ac:dyDescent="0.2">
      <c r="A294" s="109" t="s">
        <v>25</v>
      </c>
      <c r="B294" s="285" t="s">
        <v>372</v>
      </c>
      <c r="C294" s="285"/>
      <c r="D294" s="151" t="s">
        <v>10</v>
      </c>
      <c r="E294" s="107">
        <v>0</v>
      </c>
      <c r="F294" s="107">
        <v>0</v>
      </c>
      <c r="G294" s="107">
        <v>1</v>
      </c>
      <c r="H294" s="107">
        <f>SUM(E294:G294)</f>
        <v>1</v>
      </c>
      <c r="I294" s="239"/>
      <c r="J294" s="152">
        <f t="shared" si="152"/>
        <v>0</v>
      </c>
      <c r="K294" s="176"/>
      <c r="L294" s="176"/>
      <c r="M294" s="176"/>
      <c r="N294" s="176"/>
      <c r="O294" s="176"/>
      <c r="P294" s="176"/>
      <c r="Q294" s="176"/>
      <c r="R294" s="176"/>
      <c r="S294" s="176"/>
      <c r="T294" s="176"/>
      <c r="U294" s="176"/>
      <c r="V294" s="176"/>
      <c r="W294" s="176"/>
      <c r="X294" s="176"/>
      <c r="Y294" s="176"/>
      <c r="Z294" s="176"/>
      <c r="AA294" s="176"/>
      <c r="AB294" s="176"/>
      <c r="AC294" s="176"/>
      <c r="AD294" s="176"/>
      <c r="AE294" s="176"/>
      <c r="AF294" s="176"/>
      <c r="AG294" s="176"/>
      <c r="AH294" s="176"/>
      <c r="AI294" s="176"/>
      <c r="AJ294" s="176"/>
      <c r="AK294" s="176"/>
      <c r="AL294" s="176"/>
      <c r="AM294" s="176"/>
      <c r="AN294" s="176"/>
      <c r="AO294" s="176"/>
      <c r="AP294" s="176"/>
      <c r="AQ294" s="176"/>
      <c r="AR294" s="176"/>
      <c r="AS294" s="176"/>
      <c r="AT294" s="174"/>
    </row>
    <row r="295" spans="1:46" s="150" customFormat="1" ht="29.25" customHeight="1" x14ac:dyDescent="0.2">
      <c r="A295" s="149"/>
      <c r="B295" s="270" t="s">
        <v>349</v>
      </c>
      <c r="C295" s="271"/>
      <c r="D295" s="271"/>
      <c r="E295" s="271"/>
      <c r="F295" s="271"/>
      <c r="G295" s="271"/>
      <c r="H295" s="271"/>
      <c r="I295" s="272"/>
      <c r="J295" s="154">
        <f>SUM(J284:J294)</f>
        <v>0</v>
      </c>
      <c r="K295" s="176"/>
      <c r="L295" s="176"/>
      <c r="M295" s="176"/>
      <c r="N295" s="176"/>
      <c r="O295" s="176"/>
      <c r="P295" s="176"/>
      <c r="Q295" s="176"/>
      <c r="R295" s="176"/>
      <c r="S295" s="176"/>
      <c r="T295" s="176"/>
      <c r="U295" s="176"/>
      <c r="V295" s="176"/>
      <c r="W295" s="176"/>
      <c r="X295" s="176"/>
      <c r="Y295" s="176"/>
      <c r="Z295" s="176"/>
      <c r="AA295" s="176"/>
      <c r="AB295" s="176"/>
      <c r="AC295" s="176"/>
      <c r="AD295" s="176"/>
      <c r="AE295" s="176"/>
      <c r="AF295" s="176"/>
      <c r="AG295" s="176"/>
      <c r="AH295" s="176"/>
      <c r="AI295" s="176"/>
      <c r="AJ295" s="176"/>
      <c r="AK295" s="176"/>
      <c r="AL295" s="176"/>
      <c r="AM295" s="176"/>
      <c r="AN295" s="176"/>
      <c r="AO295" s="176"/>
      <c r="AP295" s="176"/>
      <c r="AQ295" s="176"/>
      <c r="AR295" s="176"/>
      <c r="AS295" s="176"/>
      <c r="AT295" s="174"/>
    </row>
    <row r="296" spans="1:46" s="150" customFormat="1" ht="31.5" customHeight="1" x14ac:dyDescent="0.2">
      <c r="A296" s="155"/>
      <c r="B296" s="287" t="s">
        <v>353</v>
      </c>
      <c r="C296" s="287"/>
      <c r="D296" s="287"/>
      <c r="E296" s="287"/>
      <c r="F296" s="287"/>
      <c r="G296" s="287"/>
      <c r="H296" s="287"/>
      <c r="I296" s="287"/>
      <c r="J296" s="287"/>
      <c r="K296" s="176"/>
      <c r="L296" s="176"/>
      <c r="M296" s="176"/>
      <c r="N296" s="176"/>
      <c r="O296" s="176"/>
      <c r="P296" s="176"/>
      <c r="Q296" s="176"/>
      <c r="R296" s="176"/>
      <c r="S296" s="176"/>
      <c r="T296" s="176"/>
      <c r="U296" s="176"/>
      <c r="V296" s="176"/>
      <c r="W296" s="176"/>
      <c r="X296" s="176"/>
      <c r="Y296" s="176"/>
      <c r="Z296" s="176"/>
      <c r="AA296" s="176"/>
      <c r="AB296" s="176"/>
      <c r="AC296" s="176"/>
      <c r="AD296" s="176"/>
      <c r="AE296" s="176"/>
      <c r="AF296" s="176"/>
      <c r="AG296" s="176"/>
      <c r="AH296" s="176"/>
      <c r="AI296" s="176"/>
      <c r="AJ296" s="176"/>
      <c r="AK296" s="176"/>
      <c r="AL296" s="176"/>
      <c r="AM296" s="176"/>
      <c r="AN296" s="176"/>
      <c r="AO296" s="176"/>
      <c r="AP296" s="176"/>
      <c r="AQ296" s="176"/>
      <c r="AR296" s="176"/>
      <c r="AS296" s="176"/>
      <c r="AT296" s="174"/>
    </row>
    <row r="297" spans="1:46" s="48" customFormat="1" ht="24.95" customHeight="1" x14ac:dyDescent="0.25">
      <c r="A297" s="241"/>
      <c r="B297" s="242" t="s">
        <v>8</v>
      </c>
      <c r="C297" s="242"/>
      <c r="D297" s="242" t="s">
        <v>186</v>
      </c>
      <c r="E297" s="243" t="s">
        <v>100</v>
      </c>
      <c r="F297" s="243"/>
      <c r="G297" s="243"/>
      <c r="H297" s="243"/>
      <c r="I297" s="244" t="s">
        <v>4</v>
      </c>
      <c r="J297" s="245" t="s">
        <v>101</v>
      </c>
      <c r="K297" s="176"/>
      <c r="L297" s="176"/>
      <c r="M297" s="176"/>
      <c r="N297" s="176"/>
      <c r="O297" s="176"/>
      <c r="P297" s="176"/>
      <c r="Q297" s="176"/>
      <c r="R297" s="176"/>
      <c r="S297" s="176"/>
      <c r="T297" s="176"/>
      <c r="U297" s="176"/>
      <c r="V297" s="176"/>
      <c r="W297" s="176"/>
      <c r="X297" s="176"/>
      <c r="Y297" s="176"/>
      <c r="Z297" s="176"/>
      <c r="AA297" s="176"/>
      <c r="AB297" s="176"/>
      <c r="AC297" s="176"/>
      <c r="AD297" s="176"/>
      <c r="AE297" s="176"/>
      <c r="AF297" s="176"/>
      <c r="AG297" s="176"/>
      <c r="AH297" s="176"/>
      <c r="AI297" s="176"/>
      <c r="AJ297" s="176"/>
      <c r="AK297" s="176"/>
      <c r="AL297" s="176"/>
      <c r="AM297" s="176"/>
      <c r="AN297" s="176"/>
      <c r="AO297" s="176"/>
      <c r="AP297" s="176"/>
      <c r="AQ297" s="176"/>
      <c r="AR297" s="176"/>
      <c r="AS297" s="176"/>
    </row>
    <row r="298" spans="1:46" s="7" customFormat="1" ht="24.95" customHeight="1" x14ac:dyDescent="0.25">
      <c r="A298" s="241"/>
      <c r="B298" s="242"/>
      <c r="C298" s="242"/>
      <c r="D298" s="242"/>
      <c r="E298" s="138" t="s">
        <v>244</v>
      </c>
      <c r="F298" s="138" t="s">
        <v>245</v>
      </c>
      <c r="G298" s="138" t="s">
        <v>246</v>
      </c>
      <c r="H298" s="177" t="s">
        <v>9</v>
      </c>
      <c r="I298" s="244"/>
      <c r="J298" s="245"/>
      <c r="K298" s="176"/>
      <c r="L298" s="176"/>
      <c r="M298" s="176"/>
      <c r="N298" s="176"/>
      <c r="O298" s="176"/>
      <c r="P298" s="176"/>
      <c r="Q298" s="176"/>
      <c r="R298" s="176"/>
      <c r="S298" s="176"/>
      <c r="T298" s="176"/>
      <c r="U298" s="176"/>
      <c r="V298" s="176"/>
      <c r="W298" s="176"/>
      <c r="X298" s="176"/>
      <c r="Y298" s="176"/>
      <c r="Z298" s="176"/>
      <c r="AA298" s="176"/>
      <c r="AB298" s="176"/>
      <c r="AC298" s="176"/>
      <c r="AD298" s="176"/>
      <c r="AE298" s="176"/>
      <c r="AF298" s="176"/>
      <c r="AG298" s="176"/>
      <c r="AH298" s="176"/>
      <c r="AI298" s="176"/>
      <c r="AJ298" s="176"/>
      <c r="AK298" s="176"/>
      <c r="AL298" s="176"/>
      <c r="AM298" s="176"/>
      <c r="AN298" s="176"/>
      <c r="AO298" s="176"/>
      <c r="AP298" s="176"/>
      <c r="AQ298" s="176"/>
      <c r="AR298" s="176"/>
      <c r="AS298" s="176"/>
    </row>
    <row r="299" spans="1:46" s="7" customFormat="1" ht="24.95" customHeight="1" x14ac:dyDescent="0.25">
      <c r="A299" s="214"/>
      <c r="B299" s="297" t="s">
        <v>357</v>
      </c>
      <c r="C299" s="297"/>
      <c r="D299" s="297"/>
      <c r="E299" s="297"/>
      <c r="F299" s="297"/>
      <c r="G299" s="297"/>
      <c r="H299" s="297"/>
      <c r="I299" s="297"/>
      <c r="J299" s="297"/>
      <c r="K299" s="176"/>
      <c r="L299" s="176"/>
      <c r="M299" s="176"/>
      <c r="N299" s="176"/>
      <c r="O299" s="176"/>
      <c r="P299" s="176"/>
      <c r="Q299" s="176"/>
      <c r="R299" s="176"/>
      <c r="S299" s="176"/>
      <c r="T299" s="176"/>
      <c r="U299" s="176"/>
      <c r="V299" s="176"/>
      <c r="W299" s="176"/>
      <c r="X299" s="176"/>
      <c r="Y299" s="176"/>
      <c r="Z299" s="176"/>
      <c r="AA299" s="176"/>
      <c r="AB299" s="176"/>
      <c r="AC299" s="176"/>
      <c r="AD299" s="176"/>
      <c r="AE299" s="176"/>
      <c r="AF299" s="176"/>
      <c r="AG299" s="176"/>
      <c r="AH299" s="176"/>
      <c r="AI299" s="176"/>
      <c r="AJ299" s="176"/>
      <c r="AK299" s="176"/>
      <c r="AL299" s="176"/>
      <c r="AM299" s="176"/>
      <c r="AN299" s="176"/>
      <c r="AO299" s="176"/>
      <c r="AP299" s="176"/>
      <c r="AQ299" s="176"/>
      <c r="AR299" s="176"/>
      <c r="AS299" s="176"/>
    </row>
    <row r="300" spans="1:46" s="67" customFormat="1" ht="24.95" customHeight="1" x14ac:dyDescent="0.2">
      <c r="A300" s="139" t="s">
        <v>25</v>
      </c>
      <c r="B300" s="278" t="s">
        <v>358</v>
      </c>
      <c r="C300" s="278"/>
      <c r="D300" s="50" t="s">
        <v>11</v>
      </c>
      <c r="E300" s="68">
        <v>0</v>
      </c>
      <c r="F300" s="68">
        <v>0</v>
      </c>
      <c r="G300" s="68">
        <v>27</v>
      </c>
      <c r="H300" s="68">
        <f>SUM(E300:G300)</f>
        <v>27</v>
      </c>
      <c r="I300" s="236"/>
      <c r="J300" s="90">
        <f>H300*I300</f>
        <v>0</v>
      </c>
      <c r="K300" s="176"/>
      <c r="L300" s="176"/>
      <c r="M300" s="176"/>
      <c r="N300" s="176"/>
      <c r="O300" s="176"/>
      <c r="P300" s="176"/>
      <c r="Q300" s="176"/>
      <c r="R300" s="176"/>
      <c r="S300" s="176"/>
      <c r="T300" s="176"/>
      <c r="U300" s="176"/>
      <c r="V300" s="176"/>
      <c r="W300" s="176"/>
      <c r="X300" s="176"/>
      <c r="Y300" s="176"/>
      <c r="Z300" s="176"/>
      <c r="AA300" s="176"/>
      <c r="AB300" s="176"/>
      <c r="AC300" s="176"/>
      <c r="AD300" s="176"/>
      <c r="AE300" s="176"/>
      <c r="AF300" s="176"/>
      <c r="AG300" s="176"/>
      <c r="AH300" s="176"/>
      <c r="AI300" s="176"/>
      <c r="AJ300" s="176"/>
      <c r="AK300" s="176"/>
      <c r="AL300" s="176"/>
      <c r="AM300" s="176"/>
      <c r="AN300" s="176"/>
      <c r="AO300" s="176"/>
      <c r="AP300" s="176"/>
      <c r="AQ300" s="176"/>
      <c r="AR300" s="176"/>
      <c r="AS300" s="176"/>
      <c r="AT300" s="172"/>
    </row>
    <row r="301" spans="1:46" s="67" customFormat="1" ht="24.95" customHeight="1" x14ac:dyDescent="0.2">
      <c r="A301" s="139" t="s">
        <v>25</v>
      </c>
      <c r="B301" s="278" t="s">
        <v>316</v>
      </c>
      <c r="C301" s="278"/>
      <c r="D301" s="50" t="s">
        <v>12</v>
      </c>
      <c r="E301" s="68">
        <f t="shared" ref="E301" si="153">E300*0.4*1.2</f>
        <v>0</v>
      </c>
      <c r="F301" s="68">
        <f t="shared" ref="F301" si="154">F300*0.4*1.2</f>
        <v>0</v>
      </c>
      <c r="G301" s="79">
        <f>G300*0.1*1.2</f>
        <v>3.24</v>
      </c>
      <c r="H301" s="68">
        <f t="shared" ref="H301:H304" si="155">SUM(E301:G301)</f>
        <v>3.24</v>
      </c>
      <c r="I301" s="236"/>
      <c r="J301" s="90">
        <f t="shared" ref="J301:J305" si="156">H301*I301</f>
        <v>0</v>
      </c>
      <c r="K301" s="176"/>
      <c r="L301" s="176"/>
      <c r="M301" s="176"/>
      <c r="N301" s="176"/>
      <c r="O301" s="176"/>
      <c r="P301" s="176"/>
      <c r="Q301" s="176"/>
      <c r="R301" s="176"/>
      <c r="S301" s="176"/>
      <c r="T301" s="176"/>
      <c r="U301" s="176"/>
      <c r="V301" s="176"/>
      <c r="W301" s="176"/>
      <c r="X301" s="176"/>
      <c r="Y301" s="176"/>
      <c r="Z301" s="176"/>
      <c r="AA301" s="176"/>
      <c r="AB301" s="176"/>
      <c r="AC301" s="176"/>
      <c r="AD301" s="176"/>
      <c r="AE301" s="176"/>
      <c r="AF301" s="176"/>
      <c r="AG301" s="176"/>
      <c r="AH301" s="176"/>
      <c r="AI301" s="176"/>
      <c r="AJ301" s="176"/>
      <c r="AK301" s="176"/>
      <c r="AL301" s="176"/>
      <c r="AM301" s="176"/>
      <c r="AN301" s="176"/>
      <c r="AO301" s="176"/>
      <c r="AP301" s="176"/>
      <c r="AQ301" s="176"/>
      <c r="AR301" s="176"/>
      <c r="AS301" s="176"/>
      <c r="AT301" s="172"/>
    </row>
    <row r="302" spans="1:46" s="67" customFormat="1" ht="24.95" customHeight="1" x14ac:dyDescent="0.2">
      <c r="A302" s="139" t="s">
        <v>25</v>
      </c>
      <c r="B302" s="278" t="s">
        <v>317</v>
      </c>
      <c r="C302" s="278"/>
      <c r="D302" s="50" t="s">
        <v>21</v>
      </c>
      <c r="E302" s="68">
        <f t="shared" ref="E302" si="157">E301*1.8</f>
        <v>0</v>
      </c>
      <c r="F302" s="68">
        <f t="shared" ref="F302" si="158">F301*1.8</f>
        <v>0</v>
      </c>
      <c r="G302" s="79">
        <f>G301*1.8</f>
        <v>5.8320000000000007</v>
      </c>
      <c r="H302" s="68">
        <f t="shared" si="155"/>
        <v>5.8320000000000007</v>
      </c>
      <c r="I302" s="236"/>
      <c r="J302" s="90">
        <f t="shared" si="156"/>
        <v>0</v>
      </c>
      <c r="K302" s="176"/>
      <c r="L302" s="176"/>
      <c r="M302" s="176"/>
      <c r="N302" s="176"/>
      <c r="O302" s="176"/>
      <c r="P302" s="176"/>
      <c r="Q302" s="176"/>
      <c r="R302" s="176"/>
      <c r="S302" s="176"/>
      <c r="T302" s="176"/>
      <c r="U302" s="176"/>
      <c r="V302" s="176"/>
      <c r="W302" s="176"/>
      <c r="X302" s="176"/>
      <c r="Y302" s="176"/>
      <c r="Z302" s="176"/>
      <c r="AA302" s="176"/>
      <c r="AB302" s="176"/>
      <c r="AC302" s="176"/>
      <c r="AD302" s="176"/>
      <c r="AE302" s="176"/>
      <c r="AF302" s="176"/>
      <c r="AG302" s="176"/>
      <c r="AH302" s="176"/>
      <c r="AI302" s="176"/>
      <c r="AJ302" s="176"/>
      <c r="AK302" s="176"/>
      <c r="AL302" s="176"/>
      <c r="AM302" s="176"/>
      <c r="AN302" s="176"/>
      <c r="AO302" s="176"/>
      <c r="AP302" s="176"/>
      <c r="AQ302" s="176"/>
      <c r="AR302" s="176"/>
      <c r="AS302" s="176"/>
      <c r="AT302" s="172"/>
    </row>
    <row r="303" spans="1:46" s="67" customFormat="1" ht="24.95" customHeight="1" x14ac:dyDescent="0.2">
      <c r="A303" s="139" t="s">
        <v>25</v>
      </c>
      <c r="B303" s="278" t="s">
        <v>175</v>
      </c>
      <c r="C303" s="278"/>
      <c r="D303" s="50" t="s">
        <v>11</v>
      </c>
      <c r="E303" s="68">
        <f t="shared" ref="E303:F304" si="159">E300</f>
        <v>0</v>
      </c>
      <c r="F303" s="68">
        <f t="shared" si="159"/>
        <v>0</v>
      </c>
      <c r="G303" s="68">
        <f>G300</f>
        <v>27</v>
      </c>
      <c r="H303" s="68">
        <f t="shared" si="155"/>
        <v>27</v>
      </c>
      <c r="I303" s="236"/>
      <c r="J303" s="90">
        <f t="shared" si="156"/>
        <v>0</v>
      </c>
      <c r="K303" s="176"/>
      <c r="L303" s="176"/>
      <c r="M303" s="176"/>
      <c r="N303" s="176"/>
      <c r="O303" s="176"/>
      <c r="P303" s="176"/>
      <c r="Q303" s="176"/>
      <c r="R303" s="176"/>
      <c r="S303" s="176"/>
      <c r="T303" s="176"/>
      <c r="U303" s="176"/>
      <c r="V303" s="176"/>
      <c r="W303" s="176"/>
      <c r="X303" s="176"/>
      <c r="Y303" s="176"/>
      <c r="Z303" s="176"/>
      <c r="AA303" s="176"/>
      <c r="AB303" s="176"/>
      <c r="AC303" s="176"/>
      <c r="AD303" s="176"/>
      <c r="AE303" s="176"/>
      <c r="AF303" s="176"/>
      <c r="AG303" s="176"/>
      <c r="AH303" s="176"/>
      <c r="AI303" s="176"/>
      <c r="AJ303" s="176"/>
      <c r="AK303" s="176"/>
      <c r="AL303" s="176"/>
      <c r="AM303" s="176"/>
      <c r="AN303" s="176"/>
      <c r="AO303" s="176"/>
      <c r="AP303" s="176"/>
      <c r="AQ303" s="176"/>
      <c r="AR303" s="176"/>
      <c r="AS303" s="176"/>
      <c r="AT303" s="172"/>
    </row>
    <row r="304" spans="1:46" s="67" customFormat="1" ht="24.95" customHeight="1" x14ac:dyDescent="0.2">
      <c r="A304" s="65" t="s">
        <v>26</v>
      </c>
      <c r="B304" s="278" t="s">
        <v>359</v>
      </c>
      <c r="C304" s="278"/>
      <c r="D304" s="50" t="s">
        <v>11</v>
      </c>
      <c r="E304" s="68">
        <f t="shared" si="159"/>
        <v>0</v>
      </c>
      <c r="F304" s="68">
        <f t="shared" si="159"/>
        <v>0</v>
      </c>
      <c r="G304" s="68">
        <f>G300*1.05</f>
        <v>28.35</v>
      </c>
      <c r="H304" s="68">
        <f t="shared" si="155"/>
        <v>28.35</v>
      </c>
      <c r="I304" s="236"/>
      <c r="J304" s="90">
        <f t="shared" si="156"/>
        <v>0</v>
      </c>
      <c r="K304" s="176"/>
      <c r="L304" s="176"/>
      <c r="M304" s="176"/>
      <c r="N304" s="176"/>
      <c r="O304" s="176"/>
      <c r="P304" s="176"/>
      <c r="Q304" s="176"/>
      <c r="R304" s="176"/>
      <c r="S304" s="176"/>
      <c r="T304" s="176"/>
      <c r="U304" s="176"/>
      <c r="V304" s="176"/>
      <c r="W304" s="176"/>
      <c r="X304" s="176"/>
      <c r="Y304" s="176"/>
      <c r="Z304" s="176"/>
      <c r="AA304" s="176"/>
      <c r="AB304" s="176"/>
      <c r="AC304" s="176"/>
      <c r="AD304" s="176"/>
      <c r="AE304" s="176"/>
      <c r="AF304" s="176"/>
      <c r="AG304" s="176"/>
      <c r="AH304" s="176"/>
      <c r="AI304" s="176"/>
      <c r="AJ304" s="176"/>
      <c r="AK304" s="176"/>
      <c r="AL304" s="176"/>
      <c r="AM304" s="176"/>
      <c r="AN304" s="176"/>
      <c r="AO304" s="176"/>
      <c r="AP304" s="176"/>
      <c r="AQ304" s="176"/>
      <c r="AR304" s="176"/>
      <c r="AS304" s="176"/>
      <c r="AT304" s="172"/>
    </row>
    <row r="305" spans="1:46" ht="24.95" customHeight="1" x14ac:dyDescent="0.2">
      <c r="A305" s="14" t="s">
        <v>74</v>
      </c>
      <c r="B305" s="302" t="s">
        <v>75</v>
      </c>
      <c r="C305" s="302"/>
      <c r="D305" s="14" t="s">
        <v>11</v>
      </c>
      <c r="E305" s="28">
        <f>SUM(E307*1.05)</f>
        <v>0</v>
      </c>
      <c r="F305" s="28">
        <f t="shared" ref="F305" si="160">SUM(F307*1.2*1.05)</f>
        <v>0</v>
      </c>
      <c r="G305" s="28">
        <f>G304</f>
        <v>28.35</v>
      </c>
      <c r="H305" s="28">
        <f t="shared" ref="H305:H307" si="161">SUM(E305:G305)</f>
        <v>28.35</v>
      </c>
      <c r="I305" s="229"/>
      <c r="J305" s="90">
        <f t="shared" si="156"/>
        <v>0</v>
      </c>
    </row>
    <row r="306" spans="1:46" s="67" customFormat="1" ht="24.95" customHeight="1" x14ac:dyDescent="0.2">
      <c r="A306" s="140" t="s">
        <v>26</v>
      </c>
      <c r="B306" s="278" t="s">
        <v>329</v>
      </c>
      <c r="C306" s="351"/>
      <c r="D306" s="50" t="s">
        <v>21</v>
      </c>
      <c r="E306" s="68">
        <f t="shared" ref="E306:F306" si="162">E291*0.1*2</f>
        <v>0</v>
      </c>
      <c r="F306" s="68">
        <f t="shared" si="162"/>
        <v>0</v>
      </c>
      <c r="G306" s="68">
        <f>G300*0.1*2</f>
        <v>5.4</v>
      </c>
      <c r="H306" s="68">
        <f t="shared" si="161"/>
        <v>5.4</v>
      </c>
      <c r="I306" s="236"/>
      <c r="J306" s="90">
        <f t="shared" ref="J306:J307" si="163">H306*I306</f>
        <v>0</v>
      </c>
      <c r="K306" s="176"/>
      <c r="L306" s="176"/>
      <c r="M306" s="176"/>
      <c r="N306" s="176"/>
      <c r="O306" s="176"/>
      <c r="P306" s="176"/>
      <c r="Q306" s="176"/>
      <c r="R306" s="176"/>
      <c r="S306" s="176"/>
      <c r="T306" s="176"/>
      <c r="U306" s="176"/>
      <c r="V306" s="176"/>
      <c r="W306" s="176"/>
      <c r="X306" s="176"/>
      <c r="Y306" s="176"/>
      <c r="Z306" s="176"/>
      <c r="AA306" s="176"/>
      <c r="AB306" s="176"/>
      <c r="AC306" s="176"/>
      <c r="AD306" s="176"/>
      <c r="AE306" s="176"/>
      <c r="AF306" s="176"/>
      <c r="AG306" s="176"/>
      <c r="AH306" s="176"/>
      <c r="AI306" s="176"/>
      <c r="AJ306" s="176"/>
      <c r="AK306" s="176"/>
      <c r="AL306" s="176"/>
      <c r="AM306" s="176"/>
      <c r="AN306" s="176"/>
      <c r="AO306" s="176"/>
      <c r="AP306" s="176"/>
      <c r="AQ306" s="176"/>
      <c r="AR306" s="176"/>
      <c r="AS306" s="176"/>
      <c r="AT306" s="172"/>
    </row>
    <row r="307" spans="1:46" s="67" customFormat="1" ht="24.95" customHeight="1" x14ac:dyDescent="0.2">
      <c r="A307" s="151" t="s">
        <v>25</v>
      </c>
      <c r="B307" s="357" t="s">
        <v>360</v>
      </c>
      <c r="C307" s="358"/>
      <c r="D307" s="157" t="s">
        <v>12</v>
      </c>
      <c r="E307" s="68">
        <f t="shared" ref="E307" si="164">E306</f>
        <v>0</v>
      </c>
      <c r="F307" s="68">
        <f t="shared" ref="F307" si="165">F306</f>
        <v>0</v>
      </c>
      <c r="G307" s="68">
        <f>G306</f>
        <v>5.4</v>
      </c>
      <c r="H307" s="68">
        <f t="shared" si="161"/>
        <v>5.4</v>
      </c>
      <c r="I307" s="236"/>
      <c r="J307" s="112">
        <f t="shared" si="163"/>
        <v>0</v>
      </c>
      <c r="K307" s="176"/>
      <c r="L307" s="176"/>
      <c r="M307" s="176"/>
      <c r="N307" s="176"/>
      <c r="O307" s="176"/>
      <c r="P307" s="176"/>
      <c r="Q307" s="176"/>
      <c r="R307" s="176"/>
      <c r="S307" s="176"/>
      <c r="T307" s="176"/>
      <c r="U307" s="176"/>
      <c r="V307" s="176"/>
      <c r="W307" s="176"/>
      <c r="X307" s="176"/>
      <c r="Y307" s="176"/>
      <c r="Z307" s="176"/>
      <c r="AA307" s="176"/>
      <c r="AB307" s="176"/>
      <c r="AC307" s="176"/>
      <c r="AD307" s="176"/>
      <c r="AE307" s="176"/>
      <c r="AF307" s="176"/>
      <c r="AG307" s="176"/>
      <c r="AH307" s="176"/>
      <c r="AI307" s="176"/>
      <c r="AJ307" s="176"/>
      <c r="AK307" s="176"/>
      <c r="AL307" s="176"/>
      <c r="AM307" s="176"/>
      <c r="AN307" s="176"/>
      <c r="AO307" s="176"/>
      <c r="AP307" s="176"/>
      <c r="AQ307" s="176"/>
      <c r="AR307" s="176"/>
      <c r="AS307" s="176"/>
      <c r="AT307" s="172"/>
    </row>
    <row r="308" spans="1:46" s="150" customFormat="1" ht="24.95" customHeight="1" x14ac:dyDescent="0.2">
      <c r="A308" s="65" t="s">
        <v>26</v>
      </c>
      <c r="B308" s="285" t="s">
        <v>355</v>
      </c>
      <c r="C308" s="286"/>
      <c r="D308" s="107" t="s">
        <v>11</v>
      </c>
      <c r="E308" s="107">
        <v>0</v>
      </c>
      <c r="F308" s="107">
        <v>0</v>
      </c>
      <c r="G308" s="107">
        <v>27</v>
      </c>
      <c r="H308" s="107">
        <f>SUM(E308:G308)</f>
        <v>27</v>
      </c>
      <c r="I308" s="239"/>
      <c r="J308" s="152">
        <f>H308*I308</f>
        <v>0</v>
      </c>
      <c r="K308" s="176"/>
      <c r="L308" s="176"/>
      <c r="M308" s="176"/>
      <c r="N308" s="176"/>
      <c r="O308" s="176"/>
      <c r="P308" s="176"/>
      <c r="Q308" s="176"/>
      <c r="R308" s="176"/>
      <c r="S308" s="176"/>
      <c r="T308" s="176"/>
      <c r="U308" s="176"/>
      <c r="V308" s="176"/>
      <c r="W308" s="176"/>
      <c r="X308" s="176"/>
      <c r="Y308" s="176"/>
      <c r="Z308" s="176"/>
      <c r="AA308" s="176"/>
      <c r="AB308" s="176"/>
      <c r="AC308" s="176"/>
      <c r="AD308" s="176"/>
      <c r="AE308" s="176"/>
      <c r="AF308" s="176"/>
      <c r="AG308" s="176"/>
      <c r="AH308" s="176"/>
      <c r="AI308" s="176"/>
      <c r="AJ308" s="176"/>
      <c r="AK308" s="176"/>
      <c r="AL308" s="176"/>
      <c r="AM308" s="176"/>
      <c r="AN308" s="176"/>
      <c r="AO308" s="176"/>
      <c r="AP308" s="176"/>
      <c r="AQ308" s="176"/>
      <c r="AR308" s="176"/>
      <c r="AS308" s="176"/>
      <c r="AT308" s="174"/>
    </row>
    <row r="309" spans="1:46" s="150" customFormat="1" ht="24.95" customHeight="1" x14ac:dyDescent="0.2">
      <c r="A309" s="151" t="s">
        <v>25</v>
      </c>
      <c r="B309" s="285" t="s">
        <v>356</v>
      </c>
      <c r="C309" s="286"/>
      <c r="D309" s="107" t="s">
        <v>10</v>
      </c>
      <c r="E309" s="107">
        <v>0</v>
      </c>
      <c r="F309" s="107">
        <v>0</v>
      </c>
      <c r="G309" s="107">
        <v>1</v>
      </c>
      <c r="H309" s="107">
        <f>SUM(E309:G309)</f>
        <v>1</v>
      </c>
      <c r="I309" s="239"/>
      <c r="J309" s="152">
        <f>H309*I309</f>
        <v>0</v>
      </c>
      <c r="K309" s="176"/>
      <c r="L309" s="176"/>
      <c r="M309" s="176"/>
      <c r="N309" s="176"/>
      <c r="O309" s="176"/>
      <c r="P309" s="176"/>
      <c r="Q309" s="176"/>
      <c r="R309" s="176"/>
      <c r="S309" s="176"/>
      <c r="T309" s="176"/>
      <c r="U309" s="176"/>
      <c r="V309" s="176"/>
      <c r="W309" s="176"/>
      <c r="X309" s="176"/>
      <c r="Y309" s="176"/>
      <c r="Z309" s="176"/>
      <c r="AA309" s="176"/>
      <c r="AB309" s="176"/>
      <c r="AC309" s="176"/>
      <c r="AD309" s="176"/>
      <c r="AE309" s="176"/>
      <c r="AF309" s="176"/>
      <c r="AG309" s="176"/>
      <c r="AH309" s="176"/>
      <c r="AI309" s="176"/>
      <c r="AJ309" s="176"/>
      <c r="AK309" s="176"/>
      <c r="AL309" s="176"/>
      <c r="AM309" s="176"/>
      <c r="AN309" s="176"/>
      <c r="AO309" s="176"/>
      <c r="AP309" s="176"/>
      <c r="AQ309" s="176"/>
      <c r="AR309" s="176"/>
      <c r="AS309" s="176"/>
      <c r="AT309" s="174"/>
    </row>
    <row r="310" spans="1:46" s="161" customFormat="1" ht="24.95" customHeight="1" x14ac:dyDescent="0.2">
      <c r="A310" s="162"/>
      <c r="B310" s="359" t="s">
        <v>361</v>
      </c>
      <c r="C310" s="359"/>
      <c r="D310" s="158"/>
      <c r="E310" s="158"/>
      <c r="F310" s="158"/>
      <c r="G310" s="158"/>
      <c r="H310" s="158"/>
      <c r="I310" s="159"/>
      <c r="J310" s="160">
        <f>SUM(J300:J309)</f>
        <v>0</v>
      </c>
      <c r="K310" s="176"/>
      <c r="L310" s="176"/>
      <c r="M310" s="176"/>
      <c r="N310" s="176"/>
      <c r="O310" s="176"/>
      <c r="P310" s="176"/>
      <c r="Q310" s="176"/>
      <c r="R310" s="176"/>
      <c r="S310" s="176"/>
      <c r="T310" s="176"/>
      <c r="U310" s="176"/>
      <c r="V310" s="176"/>
      <c r="W310" s="176"/>
      <c r="X310" s="176"/>
      <c r="Y310" s="176"/>
      <c r="Z310" s="176"/>
      <c r="AA310" s="176"/>
      <c r="AB310" s="176"/>
      <c r="AC310" s="176"/>
      <c r="AD310" s="176"/>
      <c r="AE310" s="176"/>
      <c r="AF310" s="176"/>
      <c r="AG310" s="176"/>
      <c r="AH310" s="176"/>
      <c r="AI310" s="176"/>
      <c r="AJ310" s="176"/>
      <c r="AK310" s="176"/>
      <c r="AL310" s="176"/>
      <c r="AM310" s="176"/>
      <c r="AN310" s="176"/>
      <c r="AO310" s="176"/>
      <c r="AP310" s="176"/>
      <c r="AQ310" s="176"/>
      <c r="AR310" s="176"/>
      <c r="AS310" s="176"/>
      <c r="AT310" s="175"/>
    </row>
    <row r="311" spans="1:46" s="150" customFormat="1" ht="24.95" customHeight="1" x14ac:dyDescent="0.2">
      <c r="A311" s="65"/>
      <c r="B311" s="360" t="s">
        <v>362</v>
      </c>
      <c r="C311" s="360"/>
      <c r="D311" s="360"/>
      <c r="E311" s="360"/>
      <c r="F311" s="360"/>
      <c r="G311" s="360"/>
      <c r="H311" s="360"/>
      <c r="I311" s="360"/>
      <c r="J311" s="360"/>
      <c r="K311" s="176"/>
      <c r="L311" s="176"/>
      <c r="M311" s="176"/>
      <c r="N311" s="176"/>
      <c r="O311" s="176"/>
      <c r="P311" s="176"/>
      <c r="Q311" s="176"/>
      <c r="R311" s="176"/>
      <c r="S311" s="176"/>
      <c r="T311" s="176"/>
      <c r="U311" s="176"/>
      <c r="V311" s="176"/>
      <c r="W311" s="176"/>
      <c r="X311" s="176"/>
      <c r="Y311" s="176"/>
      <c r="Z311" s="176"/>
      <c r="AA311" s="176"/>
      <c r="AB311" s="176"/>
      <c r="AC311" s="176"/>
      <c r="AD311" s="176"/>
      <c r="AE311" s="176"/>
      <c r="AF311" s="176"/>
      <c r="AG311" s="176"/>
      <c r="AH311" s="176"/>
      <c r="AI311" s="176"/>
      <c r="AJ311" s="176"/>
      <c r="AK311" s="176"/>
      <c r="AL311" s="176"/>
      <c r="AM311" s="176"/>
      <c r="AN311" s="176"/>
      <c r="AO311" s="176"/>
      <c r="AP311" s="176"/>
      <c r="AQ311" s="176"/>
      <c r="AR311" s="176"/>
      <c r="AS311" s="176"/>
      <c r="AT311" s="174"/>
    </row>
    <row r="312" spans="1:46" s="150" customFormat="1" ht="24.95" customHeight="1" x14ac:dyDescent="0.2">
      <c r="A312" s="65" t="s">
        <v>26</v>
      </c>
      <c r="B312" s="285" t="s">
        <v>363</v>
      </c>
      <c r="C312" s="286"/>
      <c r="D312" s="107" t="s">
        <v>10</v>
      </c>
      <c r="E312" s="107">
        <v>0</v>
      </c>
      <c r="F312" s="107">
        <v>0</v>
      </c>
      <c r="G312" s="107">
        <v>15</v>
      </c>
      <c r="H312" s="107">
        <f t="shared" ref="H312:H317" si="166">SUM(E312:G312)</f>
        <v>15</v>
      </c>
      <c r="I312" s="239"/>
      <c r="J312" s="152">
        <f>H312*I312</f>
        <v>0</v>
      </c>
      <c r="K312" s="176"/>
      <c r="L312" s="176"/>
      <c r="M312" s="176"/>
      <c r="N312" s="176"/>
      <c r="O312" s="176"/>
      <c r="P312" s="176"/>
      <c r="Q312" s="176"/>
      <c r="R312" s="176"/>
      <c r="S312" s="176"/>
      <c r="T312" s="176"/>
      <c r="U312" s="176"/>
      <c r="V312" s="176"/>
      <c r="W312" s="176"/>
      <c r="X312" s="176"/>
      <c r="Y312" s="176"/>
      <c r="Z312" s="176"/>
      <c r="AA312" s="176"/>
      <c r="AB312" s="176"/>
      <c r="AC312" s="176"/>
      <c r="AD312" s="176"/>
      <c r="AE312" s="176"/>
      <c r="AF312" s="176"/>
      <c r="AG312" s="176"/>
      <c r="AH312" s="176"/>
      <c r="AI312" s="176"/>
      <c r="AJ312" s="176"/>
      <c r="AK312" s="176"/>
      <c r="AL312" s="176"/>
      <c r="AM312" s="176"/>
      <c r="AN312" s="176"/>
      <c r="AO312" s="176"/>
      <c r="AP312" s="176"/>
      <c r="AQ312" s="176"/>
      <c r="AR312" s="176"/>
      <c r="AS312" s="176"/>
      <c r="AT312" s="174"/>
    </row>
    <row r="313" spans="1:46" s="150" customFormat="1" ht="29.25" customHeight="1" x14ac:dyDescent="0.2">
      <c r="A313" s="151" t="s">
        <v>25</v>
      </c>
      <c r="B313" s="285" t="s">
        <v>364</v>
      </c>
      <c r="C313" s="286"/>
      <c r="D313" s="107" t="s">
        <v>10</v>
      </c>
      <c r="E313" s="107">
        <v>0</v>
      </c>
      <c r="F313" s="107">
        <v>0</v>
      </c>
      <c r="G313" s="107">
        <v>15</v>
      </c>
      <c r="H313" s="107">
        <f t="shared" si="166"/>
        <v>15</v>
      </c>
      <c r="I313" s="239"/>
      <c r="J313" s="152">
        <f t="shared" ref="J313:J317" si="167">H313*I313</f>
        <v>0</v>
      </c>
      <c r="K313" s="176"/>
      <c r="L313" s="176"/>
      <c r="M313" s="176"/>
      <c r="N313" s="176"/>
      <c r="O313" s="176"/>
      <c r="P313" s="176"/>
      <c r="Q313" s="176"/>
      <c r="R313" s="176"/>
      <c r="S313" s="176"/>
      <c r="T313" s="176"/>
      <c r="U313" s="176"/>
      <c r="V313" s="176"/>
      <c r="W313" s="176"/>
      <c r="X313" s="176"/>
      <c r="Y313" s="176"/>
      <c r="Z313" s="176"/>
      <c r="AA313" s="176"/>
      <c r="AB313" s="176"/>
      <c r="AC313" s="176"/>
      <c r="AD313" s="176"/>
      <c r="AE313" s="176"/>
      <c r="AF313" s="176"/>
      <c r="AG313" s="176"/>
      <c r="AH313" s="176"/>
      <c r="AI313" s="176"/>
      <c r="AJ313" s="176"/>
      <c r="AK313" s="176"/>
      <c r="AL313" s="176"/>
      <c r="AM313" s="176"/>
      <c r="AN313" s="176"/>
      <c r="AO313" s="176"/>
      <c r="AP313" s="176"/>
      <c r="AQ313" s="176"/>
      <c r="AR313" s="176"/>
      <c r="AS313" s="176"/>
      <c r="AT313" s="174"/>
    </row>
    <row r="314" spans="1:46" s="153" customFormat="1" ht="29.25" customHeight="1" x14ac:dyDescent="0.2">
      <c r="A314" s="65" t="s">
        <v>26</v>
      </c>
      <c r="B314" s="285" t="s">
        <v>366</v>
      </c>
      <c r="C314" s="285"/>
      <c r="D314" s="107" t="s">
        <v>135</v>
      </c>
      <c r="E314" s="107">
        <v>0</v>
      </c>
      <c r="F314" s="107">
        <v>0</v>
      </c>
      <c r="G314" s="107">
        <v>7</v>
      </c>
      <c r="H314" s="107">
        <f t="shared" si="166"/>
        <v>7</v>
      </c>
      <c r="I314" s="239"/>
      <c r="J314" s="152">
        <f t="shared" si="167"/>
        <v>0</v>
      </c>
      <c r="K314" s="176"/>
      <c r="L314" s="176"/>
      <c r="M314" s="176"/>
      <c r="N314" s="176"/>
      <c r="O314" s="176"/>
      <c r="P314" s="176"/>
      <c r="Q314" s="176"/>
      <c r="R314" s="176"/>
      <c r="S314" s="176"/>
      <c r="T314" s="176"/>
      <c r="U314" s="176"/>
      <c r="V314" s="176"/>
      <c r="W314" s="176"/>
      <c r="X314" s="176"/>
      <c r="Y314" s="176"/>
      <c r="Z314" s="176"/>
      <c r="AA314" s="176"/>
      <c r="AB314" s="176"/>
      <c r="AC314" s="176"/>
      <c r="AD314" s="176"/>
      <c r="AE314" s="176"/>
      <c r="AF314" s="176"/>
      <c r="AG314" s="176"/>
      <c r="AH314" s="176"/>
      <c r="AI314" s="176"/>
      <c r="AJ314" s="176"/>
      <c r="AK314" s="176"/>
      <c r="AL314" s="176"/>
      <c r="AM314" s="176"/>
      <c r="AN314" s="176"/>
      <c r="AO314" s="176"/>
      <c r="AP314" s="176"/>
      <c r="AQ314" s="176"/>
      <c r="AR314" s="176"/>
      <c r="AS314" s="176"/>
    </row>
    <row r="315" spans="1:46" s="150" customFormat="1" ht="24.95" customHeight="1" x14ac:dyDescent="0.2">
      <c r="A315" s="65" t="s">
        <v>26</v>
      </c>
      <c r="B315" s="285" t="s">
        <v>365</v>
      </c>
      <c r="C315" s="286"/>
      <c r="D315" s="107" t="s">
        <v>135</v>
      </c>
      <c r="E315" s="107">
        <v>0</v>
      </c>
      <c r="F315" s="107">
        <v>0</v>
      </c>
      <c r="G315" s="107">
        <v>14</v>
      </c>
      <c r="H315" s="107">
        <f t="shared" si="166"/>
        <v>14</v>
      </c>
      <c r="I315" s="239"/>
      <c r="J315" s="152">
        <f t="shared" si="167"/>
        <v>0</v>
      </c>
      <c r="K315" s="176"/>
      <c r="L315" s="176"/>
      <c r="M315" s="176"/>
      <c r="N315" s="176"/>
      <c r="O315" s="176"/>
      <c r="P315" s="176"/>
      <c r="Q315" s="176"/>
      <c r="R315" s="176"/>
      <c r="S315" s="176"/>
      <c r="T315" s="176"/>
      <c r="U315" s="176"/>
      <c r="V315" s="176"/>
      <c r="W315" s="176"/>
      <c r="X315" s="176"/>
      <c r="Y315" s="176"/>
      <c r="Z315" s="176"/>
      <c r="AA315" s="176"/>
      <c r="AB315" s="176"/>
      <c r="AC315" s="176"/>
      <c r="AD315" s="176"/>
      <c r="AE315" s="176"/>
      <c r="AF315" s="176"/>
      <c r="AG315" s="176"/>
      <c r="AH315" s="176"/>
      <c r="AI315" s="176"/>
      <c r="AJ315" s="176"/>
      <c r="AK315" s="176"/>
      <c r="AL315" s="176"/>
      <c r="AM315" s="176"/>
      <c r="AN315" s="176"/>
      <c r="AO315" s="176"/>
      <c r="AP315" s="176"/>
      <c r="AQ315" s="176"/>
      <c r="AR315" s="176"/>
      <c r="AS315" s="176"/>
      <c r="AT315" s="174"/>
    </row>
    <row r="316" spans="1:46" s="150" customFormat="1" ht="24.95" customHeight="1" x14ac:dyDescent="0.2">
      <c r="A316" s="15" t="s">
        <v>26</v>
      </c>
      <c r="B316" s="255" t="s">
        <v>369</v>
      </c>
      <c r="C316" s="256"/>
      <c r="D316" s="21" t="s">
        <v>135</v>
      </c>
      <c r="E316" s="107">
        <v>0</v>
      </c>
      <c r="F316" s="107">
        <v>0</v>
      </c>
      <c r="G316" s="107">
        <v>16</v>
      </c>
      <c r="H316" s="107">
        <f t="shared" si="166"/>
        <v>16</v>
      </c>
      <c r="I316" s="239"/>
      <c r="J316" s="152">
        <f t="shared" si="167"/>
        <v>0</v>
      </c>
      <c r="K316" s="176"/>
      <c r="L316" s="176"/>
      <c r="M316" s="176"/>
      <c r="N316" s="176"/>
      <c r="O316" s="176"/>
      <c r="P316" s="176"/>
      <c r="Q316" s="176"/>
      <c r="R316" s="176"/>
      <c r="S316" s="176"/>
      <c r="T316" s="176"/>
      <c r="U316" s="176"/>
      <c r="V316" s="176"/>
      <c r="W316" s="176"/>
      <c r="X316" s="176"/>
      <c r="Y316" s="176"/>
      <c r="Z316" s="176"/>
      <c r="AA316" s="176"/>
      <c r="AB316" s="176"/>
      <c r="AC316" s="176"/>
      <c r="AD316" s="176"/>
      <c r="AE316" s="176"/>
      <c r="AF316" s="176"/>
      <c r="AG316" s="176"/>
      <c r="AH316" s="176"/>
      <c r="AI316" s="176"/>
      <c r="AJ316" s="176"/>
      <c r="AK316" s="176"/>
      <c r="AL316" s="176"/>
      <c r="AM316" s="176"/>
      <c r="AN316" s="176"/>
      <c r="AO316" s="176"/>
      <c r="AP316" s="176"/>
      <c r="AQ316" s="176"/>
      <c r="AR316" s="176"/>
      <c r="AS316" s="176"/>
      <c r="AT316" s="174"/>
    </row>
    <row r="317" spans="1:46" s="150" customFormat="1" ht="24.95" customHeight="1" x14ac:dyDescent="0.2">
      <c r="A317" s="46" t="s">
        <v>25</v>
      </c>
      <c r="B317" s="255" t="s">
        <v>367</v>
      </c>
      <c r="C317" s="255"/>
      <c r="D317" s="21" t="s">
        <v>135</v>
      </c>
      <c r="E317" s="107">
        <v>0</v>
      </c>
      <c r="F317" s="107">
        <v>0</v>
      </c>
      <c r="G317" s="107">
        <v>16</v>
      </c>
      <c r="H317" s="107">
        <f t="shared" si="166"/>
        <v>16</v>
      </c>
      <c r="I317" s="239"/>
      <c r="J317" s="152">
        <f t="shared" si="167"/>
        <v>0</v>
      </c>
      <c r="K317" s="176"/>
      <c r="L317" s="176"/>
      <c r="M317" s="176"/>
      <c r="N317" s="176"/>
      <c r="O317" s="176"/>
      <c r="P317" s="176"/>
      <c r="Q317" s="176"/>
      <c r="R317" s="176"/>
      <c r="S317" s="176"/>
      <c r="T317" s="176"/>
      <c r="U317" s="176"/>
      <c r="V317" s="176"/>
      <c r="W317" s="176"/>
      <c r="X317" s="176"/>
      <c r="Y317" s="176"/>
      <c r="Z317" s="176"/>
      <c r="AA317" s="176"/>
      <c r="AB317" s="176"/>
      <c r="AC317" s="176"/>
      <c r="AD317" s="176"/>
      <c r="AE317" s="176"/>
      <c r="AF317" s="176"/>
      <c r="AG317" s="176"/>
      <c r="AH317" s="176"/>
      <c r="AI317" s="176"/>
      <c r="AJ317" s="176"/>
      <c r="AK317" s="176"/>
      <c r="AL317" s="176"/>
      <c r="AM317" s="176"/>
      <c r="AN317" s="176"/>
      <c r="AO317" s="176"/>
      <c r="AP317" s="176"/>
      <c r="AQ317" s="176"/>
      <c r="AR317" s="176"/>
      <c r="AS317" s="176"/>
      <c r="AT317" s="174"/>
    </row>
    <row r="318" spans="1:46" s="161" customFormat="1" ht="24.95" customHeight="1" x14ac:dyDescent="0.2">
      <c r="A318" s="162"/>
      <c r="B318" s="273" t="s">
        <v>368</v>
      </c>
      <c r="C318" s="274"/>
      <c r="D318" s="274"/>
      <c r="E318" s="274"/>
      <c r="F318" s="274"/>
      <c r="G318" s="274"/>
      <c r="H318" s="274"/>
      <c r="I318" s="275"/>
      <c r="J318" s="160">
        <f>SUM(J312:J317)</f>
        <v>0</v>
      </c>
      <c r="K318" s="176"/>
      <c r="L318" s="176"/>
      <c r="M318" s="176"/>
      <c r="N318" s="176"/>
      <c r="O318" s="176"/>
      <c r="P318" s="176"/>
      <c r="Q318" s="176"/>
      <c r="R318" s="176"/>
      <c r="S318" s="176"/>
      <c r="T318" s="176"/>
      <c r="U318" s="176"/>
      <c r="V318" s="176"/>
      <c r="W318" s="176"/>
      <c r="X318" s="176"/>
      <c r="Y318" s="176"/>
      <c r="Z318" s="176"/>
      <c r="AA318" s="176"/>
      <c r="AB318" s="176"/>
      <c r="AC318" s="176"/>
      <c r="AD318" s="176"/>
      <c r="AE318" s="176"/>
      <c r="AF318" s="176"/>
      <c r="AG318" s="176"/>
      <c r="AH318" s="176"/>
      <c r="AI318" s="176"/>
      <c r="AJ318" s="176"/>
      <c r="AK318" s="176"/>
      <c r="AL318" s="176"/>
      <c r="AM318" s="176"/>
      <c r="AN318" s="176"/>
      <c r="AO318" s="176"/>
      <c r="AP318" s="176"/>
      <c r="AQ318" s="176"/>
      <c r="AR318" s="176"/>
      <c r="AS318" s="176"/>
      <c r="AT318" s="175"/>
    </row>
    <row r="319" spans="1:46" s="150" customFormat="1" ht="29.25" customHeight="1" x14ac:dyDescent="0.2">
      <c r="A319" s="155"/>
      <c r="B319" s="260" t="s">
        <v>354</v>
      </c>
      <c r="C319" s="261"/>
      <c r="D319" s="261"/>
      <c r="E319" s="261"/>
      <c r="F319" s="261"/>
      <c r="G319" s="261"/>
      <c r="H319" s="261"/>
      <c r="I319" s="262"/>
      <c r="J319" s="156">
        <f>SUM(J318,J310)</f>
        <v>0</v>
      </c>
      <c r="K319" s="176"/>
      <c r="L319" s="176"/>
      <c r="M319" s="176"/>
      <c r="N319" s="176"/>
      <c r="O319" s="176"/>
      <c r="P319" s="176"/>
      <c r="Q319" s="176"/>
      <c r="R319" s="176"/>
      <c r="S319" s="176"/>
      <c r="T319" s="176"/>
      <c r="U319" s="176"/>
      <c r="V319" s="176"/>
      <c r="W319" s="176"/>
      <c r="X319" s="176"/>
      <c r="Y319" s="176"/>
      <c r="Z319" s="176"/>
      <c r="AA319" s="176"/>
      <c r="AB319" s="176"/>
      <c r="AC319" s="176"/>
      <c r="AD319" s="176"/>
      <c r="AE319" s="176"/>
      <c r="AF319" s="176"/>
      <c r="AG319" s="176"/>
      <c r="AH319" s="176"/>
      <c r="AI319" s="176"/>
      <c r="AJ319" s="176"/>
      <c r="AK319" s="176"/>
      <c r="AL319" s="176"/>
      <c r="AM319" s="176"/>
      <c r="AN319" s="176"/>
      <c r="AO319" s="176"/>
      <c r="AP319" s="176"/>
      <c r="AQ319" s="176"/>
      <c r="AR319" s="176"/>
      <c r="AS319" s="176"/>
      <c r="AT319" s="174"/>
    </row>
    <row r="320" spans="1:46" ht="24.95" customHeight="1" x14ac:dyDescent="0.2">
      <c r="A320" s="130"/>
      <c r="B320" s="263" t="s">
        <v>151</v>
      </c>
      <c r="C320" s="264"/>
      <c r="D320" s="264"/>
      <c r="E320" s="264"/>
      <c r="F320" s="264"/>
      <c r="G320" s="264"/>
      <c r="H320" s="264"/>
      <c r="I320" s="264"/>
      <c r="J320" s="265"/>
    </row>
    <row r="321" spans="1:15" ht="24.95" customHeight="1" x14ac:dyDescent="0.2">
      <c r="A321" s="130"/>
      <c r="B321" s="266" t="s">
        <v>147</v>
      </c>
      <c r="C321" s="267"/>
      <c r="D321" s="267"/>
      <c r="E321" s="267"/>
      <c r="F321" s="267"/>
      <c r="G321" s="267"/>
      <c r="H321" s="267"/>
      <c r="I321" s="267"/>
      <c r="J321" s="268"/>
    </row>
    <row r="322" spans="1:15" ht="24.95" customHeight="1" x14ac:dyDescent="0.2">
      <c r="A322" s="215"/>
      <c r="B322" s="266" t="s">
        <v>148</v>
      </c>
      <c r="C322" s="267"/>
      <c r="D322" s="267"/>
      <c r="E322" s="267"/>
      <c r="F322" s="267"/>
      <c r="G322" s="267"/>
      <c r="H322" s="267"/>
      <c r="I322" s="267"/>
      <c r="J322" s="268"/>
    </row>
    <row r="323" spans="1:15" ht="24.95" customHeight="1" x14ac:dyDescent="0.2">
      <c r="A323" s="215"/>
      <c r="B323" s="266" t="s">
        <v>164</v>
      </c>
      <c r="C323" s="267"/>
      <c r="D323" s="267"/>
      <c r="E323" s="267"/>
      <c r="F323" s="267"/>
      <c r="G323" s="267"/>
      <c r="H323" s="267"/>
      <c r="I323" s="267"/>
      <c r="J323" s="268"/>
    </row>
    <row r="324" spans="1:15" ht="35.1" customHeight="1" x14ac:dyDescent="0.2">
      <c r="A324" s="306" t="s">
        <v>47</v>
      </c>
      <c r="B324" s="306"/>
      <c r="C324" s="306"/>
      <c r="D324" s="306"/>
      <c r="E324" s="306"/>
      <c r="F324" s="306"/>
      <c r="G324" s="306"/>
      <c r="H324" s="306"/>
      <c r="I324" s="306"/>
      <c r="J324" s="306"/>
    </row>
    <row r="325" spans="1:15" ht="35.1" customHeight="1" x14ac:dyDescent="0.2">
      <c r="A325" s="306"/>
      <c r="B325" s="306"/>
      <c r="C325" s="306"/>
      <c r="D325" s="306"/>
      <c r="E325" s="306"/>
      <c r="F325" s="306"/>
      <c r="G325" s="306"/>
      <c r="H325" s="306"/>
      <c r="I325" s="131" t="s">
        <v>189</v>
      </c>
      <c r="J325" s="91" t="s">
        <v>190</v>
      </c>
    </row>
    <row r="326" spans="1:15" ht="35.1" customHeight="1" x14ac:dyDescent="0.2">
      <c r="A326" s="307" t="s">
        <v>191</v>
      </c>
      <c r="B326" s="307"/>
      <c r="C326" s="307"/>
      <c r="D326" s="307"/>
      <c r="E326" s="307"/>
      <c r="F326" s="307"/>
      <c r="G326" s="307"/>
      <c r="H326" s="307"/>
      <c r="I326" s="165">
        <f>SUM(J45)</f>
        <v>0</v>
      </c>
      <c r="J326" s="92">
        <f>I326*1.21</f>
        <v>0</v>
      </c>
    </row>
    <row r="327" spans="1:15" ht="35.1" customHeight="1" x14ac:dyDescent="0.2">
      <c r="A327" s="308" t="s">
        <v>187</v>
      </c>
      <c r="B327" s="308"/>
      <c r="C327" s="308"/>
      <c r="D327" s="308"/>
      <c r="E327" s="308"/>
      <c r="F327" s="308"/>
      <c r="G327" s="308"/>
      <c r="H327" s="308"/>
      <c r="I327" s="166">
        <f>SUM(J101)</f>
        <v>0</v>
      </c>
      <c r="J327" s="93">
        <f t="shared" ref="J327:J333" si="168">I327*1.21</f>
        <v>0</v>
      </c>
    </row>
    <row r="328" spans="1:15" ht="35.1" customHeight="1" x14ac:dyDescent="0.2">
      <c r="A328" s="309" t="s">
        <v>192</v>
      </c>
      <c r="B328" s="309"/>
      <c r="C328" s="309"/>
      <c r="D328" s="309"/>
      <c r="E328" s="309"/>
      <c r="F328" s="309"/>
      <c r="G328" s="309"/>
      <c r="H328" s="309"/>
      <c r="I328" s="167">
        <f>SUM(J249)</f>
        <v>0</v>
      </c>
      <c r="J328" s="94">
        <f t="shared" si="168"/>
        <v>0</v>
      </c>
    </row>
    <row r="329" spans="1:15" ht="35.1" customHeight="1" x14ac:dyDescent="0.2">
      <c r="A329" s="310" t="s">
        <v>339</v>
      </c>
      <c r="B329" s="311"/>
      <c r="C329" s="311"/>
      <c r="D329" s="311"/>
      <c r="E329" s="311"/>
      <c r="F329" s="311"/>
      <c r="G329" s="311"/>
      <c r="H329" s="311"/>
      <c r="I329" s="168">
        <f>SUM(J280)</f>
        <v>0</v>
      </c>
      <c r="J329" s="95">
        <f t="shared" si="168"/>
        <v>0</v>
      </c>
      <c r="N329" s="176" t="s">
        <v>383</v>
      </c>
    </row>
    <row r="330" spans="1:15" ht="35.1" customHeight="1" x14ac:dyDescent="0.2">
      <c r="A330" s="313" t="s">
        <v>373</v>
      </c>
      <c r="B330" s="313"/>
      <c r="C330" s="313"/>
      <c r="D330" s="313"/>
      <c r="E330" s="313"/>
      <c r="F330" s="313"/>
      <c r="G330" s="313"/>
      <c r="H330" s="313"/>
      <c r="I330" s="169">
        <f>SUM(J295)</f>
        <v>0</v>
      </c>
      <c r="J330" s="164">
        <f t="shared" si="168"/>
        <v>0</v>
      </c>
      <c r="L330" s="176" t="s">
        <v>376</v>
      </c>
      <c r="M330" s="217">
        <f>SUM(I326:I331)</f>
        <v>0</v>
      </c>
      <c r="N330" s="217"/>
    </row>
    <row r="331" spans="1:15" ht="35.1" customHeight="1" x14ac:dyDescent="0.2">
      <c r="A331" s="312" t="s">
        <v>353</v>
      </c>
      <c r="B331" s="312"/>
      <c r="C331" s="312"/>
      <c r="D331" s="312"/>
      <c r="E331" s="312"/>
      <c r="F331" s="312"/>
      <c r="G331" s="312"/>
      <c r="H331" s="312"/>
      <c r="I331" s="75">
        <f>SUM(J319)</f>
        <v>0</v>
      </c>
      <c r="J331" s="97">
        <f>I331*1.21</f>
        <v>0</v>
      </c>
      <c r="L331" s="176" t="s">
        <v>377</v>
      </c>
      <c r="M331" s="217">
        <f>SUM(I326:I328)</f>
        <v>0</v>
      </c>
      <c r="N331" s="217">
        <f>J112+J122+I327</f>
        <v>0</v>
      </c>
      <c r="O331" s="217">
        <f>N331*1.21</f>
        <v>0</v>
      </c>
    </row>
    <row r="332" spans="1:15" ht="35.1" customHeight="1" x14ac:dyDescent="0.2">
      <c r="A332" s="258" t="s">
        <v>158</v>
      </c>
      <c r="B332" s="258"/>
      <c r="C332" s="258"/>
      <c r="D332" s="258"/>
      <c r="E332" s="258"/>
      <c r="F332" s="258"/>
      <c r="G332" s="258"/>
      <c r="H332" s="258"/>
      <c r="I332" s="170"/>
      <c r="J332" s="96">
        <f>I332*1.21</f>
        <v>0</v>
      </c>
      <c r="L332" s="176" t="s">
        <v>378</v>
      </c>
      <c r="M332" s="218">
        <f>SUM(J11,J14,J23,J30,J44,J113,J123,J141,J171,J206)</f>
        <v>0</v>
      </c>
      <c r="N332" s="218">
        <f>J112+J122</f>
        <v>0</v>
      </c>
      <c r="O332" s="218">
        <f>N332*1.21</f>
        <v>0</v>
      </c>
    </row>
    <row r="333" spans="1:15" ht="35.1" customHeight="1" x14ac:dyDescent="0.2">
      <c r="A333" s="305" t="s">
        <v>193</v>
      </c>
      <c r="B333" s="305"/>
      <c r="C333" s="305"/>
      <c r="D333" s="305"/>
      <c r="E333" s="305"/>
      <c r="F333" s="305"/>
      <c r="G333" s="305"/>
      <c r="H333" s="305"/>
      <c r="I333" s="171">
        <f>SUM(I326:I332)</f>
        <v>0</v>
      </c>
      <c r="J333" s="98">
        <f t="shared" si="168"/>
        <v>0</v>
      </c>
      <c r="L333" s="176" t="s">
        <v>379</v>
      </c>
      <c r="M333" s="218">
        <f>SUM(J228)</f>
        <v>0</v>
      </c>
    </row>
    <row r="334" spans="1:15" ht="24.95" customHeight="1" x14ac:dyDescent="0.2">
      <c r="A334" s="18"/>
      <c r="B334" s="9"/>
      <c r="C334" s="9"/>
      <c r="D334" s="17"/>
      <c r="E334" s="17"/>
      <c r="F334" s="17"/>
      <c r="G334" s="20"/>
      <c r="H334" s="20"/>
      <c r="I334" s="19"/>
      <c r="J334" s="99"/>
      <c r="L334" s="176" t="s">
        <v>380</v>
      </c>
      <c r="M334" s="217">
        <f>SUM(I329)</f>
        <v>0</v>
      </c>
    </row>
    <row r="335" spans="1:15" ht="24.95" customHeight="1" x14ac:dyDescent="0.2">
      <c r="A335" s="163" t="s">
        <v>370</v>
      </c>
      <c r="B335" s="8"/>
      <c r="D335" s="32"/>
      <c r="E335" s="32"/>
      <c r="F335" s="32"/>
      <c r="G335" s="10"/>
      <c r="H335" s="10"/>
      <c r="I335" s="11"/>
      <c r="J335" s="100"/>
      <c r="L335" s="176" t="s">
        <v>381</v>
      </c>
      <c r="M335" s="218">
        <f>SUM(J43,J181)</f>
        <v>0</v>
      </c>
    </row>
    <row r="336" spans="1:15" ht="24.95" customHeight="1" x14ac:dyDescent="0.2">
      <c r="A336" s="349"/>
      <c r="B336" s="349"/>
      <c r="C336" s="349"/>
      <c r="D336" s="349"/>
      <c r="E336" s="349"/>
      <c r="F336" s="349"/>
      <c r="G336" s="349"/>
      <c r="H336" s="349"/>
      <c r="I336" s="349"/>
      <c r="J336" s="349"/>
      <c r="L336" s="176" t="s">
        <v>382</v>
      </c>
      <c r="M336" s="217">
        <f>SUM(I330)</f>
        <v>0</v>
      </c>
    </row>
  </sheetData>
  <sheetProtection algorithmName="SHA-512" hashValue="fosZQDimwWa6e5bZqtJeAHoO5SkKmtJIp1y1Ww+cDgE4dnie3YmxKKl0Ow+JsMCr+6Vm+wGBcH+EDxcGoOA4Xg==" saltValue="sz/hYGRmN0Ov5PESKKBA8g==" spinCount="100000" sheet="1" objects="1" scenarios="1" selectLockedCells="1"/>
  <mergeCells count="358">
    <mergeCell ref="B317:C317"/>
    <mergeCell ref="B299:J299"/>
    <mergeCell ref="B300:C300"/>
    <mergeCell ref="B301:C301"/>
    <mergeCell ref="B302:C302"/>
    <mergeCell ref="B303:C303"/>
    <mergeCell ref="B305:C305"/>
    <mergeCell ref="B304:C304"/>
    <mergeCell ref="B306:C306"/>
    <mergeCell ref="B307:C307"/>
    <mergeCell ref="B308:C308"/>
    <mergeCell ref="B309:C309"/>
    <mergeCell ref="B310:C310"/>
    <mergeCell ref="B312:C312"/>
    <mergeCell ref="B313:C313"/>
    <mergeCell ref="B314:C314"/>
    <mergeCell ref="B315:C315"/>
    <mergeCell ref="B311:J311"/>
    <mergeCell ref="B316:C316"/>
    <mergeCell ref="A297:A298"/>
    <mergeCell ref="B297:C298"/>
    <mergeCell ref="D297:D298"/>
    <mergeCell ref="E297:H297"/>
    <mergeCell ref="I297:I298"/>
    <mergeCell ref="J297:J298"/>
    <mergeCell ref="B292:C292"/>
    <mergeCell ref="B294:C294"/>
    <mergeCell ref="B81:C81"/>
    <mergeCell ref="B185:C185"/>
    <mergeCell ref="B87:J87"/>
    <mergeCell ref="B290:C290"/>
    <mergeCell ref="E282:H282"/>
    <mergeCell ref="A282:A283"/>
    <mergeCell ref="B282:C283"/>
    <mergeCell ref="D282:D283"/>
    <mergeCell ref="I282:I283"/>
    <mergeCell ref="J282:J283"/>
    <mergeCell ref="B285:C285"/>
    <mergeCell ref="B287:C287"/>
    <mergeCell ref="B289:C289"/>
    <mergeCell ref="B284:C284"/>
    <mergeCell ref="B288:C288"/>
    <mergeCell ref="A229:A230"/>
    <mergeCell ref="I229:I230"/>
    <mergeCell ref="J229:J230"/>
    <mergeCell ref="B272:C272"/>
    <mergeCell ref="B273:C273"/>
    <mergeCell ref="B274:C274"/>
    <mergeCell ref="A251:A252"/>
    <mergeCell ref="B251:C252"/>
    <mergeCell ref="D251:D252"/>
    <mergeCell ref="E251:H251"/>
    <mergeCell ref="I251:I252"/>
    <mergeCell ref="J251:J25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A336:J336"/>
    <mergeCell ref="B12:J12"/>
    <mergeCell ref="B15:J15"/>
    <mergeCell ref="B114:J114"/>
    <mergeCell ref="B116:C116"/>
    <mergeCell ref="B44:C44"/>
    <mergeCell ref="B126:J126"/>
    <mergeCell ref="A124:A125"/>
    <mergeCell ref="B124:C125"/>
    <mergeCell ref="D124:D125"/>
    <mergeCell ref="E124:H124"/>
    <mergeCell ref="I124:I125"/>
    <mergeCell ref="J124:J125"/>
    <mergeCell ref="A142:A143"/>
    <mergeCell ref="B142:C143"/>
    <mergeCell ref="D142:D143"/>
    <mergeCell ref="E142:H142"/>
    <mergeCell ref="I142:I143"/>
    <mergeCell ref="B260:C260"/>
    <mergeCell ref="B261:C261"/>
    <mergeCell ref="B262:C262"/>
    <mergeCell ref="A207:A208"/>
    <mergeCell ref="B207:C208"/>
    <mergeCell ref="D207:D208"/>
    <mergeCell ref="A172:A173"/>
    <mergeCell ref="B172:C173"/>
    <mergeCell ref="D172:D173"/>
    <mergeCell ref="E172:H172"/>
    <mergeCell ref="I172:I173"/>
    <mergeCell ref="B286:C286"/>
    <mergeCell ref="B243:C243"/>
    <mergeCell ref="B231:J231"/>
    <mergeCell ref="B238:C238"/>
    <mergeCell ref="B239:C239"/>
    <mergeCell ref="B234:C234"/>
    <mergeCell ref="B237:C237"/>
    <mergeCell ref="B189:C189"/>
    <mergeCell ref="B250:J250"/>
    <mergeCell ref="B248:C248"/>
    <mergeCell ref="B232:C232"/>
    <mergeCell ref="B233:C233"/>
    <mergeCell ref="B192:C192"/>
    <mergeCell ref="B198:C198"/>
    <mergeCell ref="B211:C211"/>
    <mergeCell ref="B213:C213"/>
    <mergeCell ref="B206:C206"/>
    <mergeCell ref="B210:C210"/>
    <mergeCell ref="A182:A183"/>
    <mergeCell ref="B196:C196"/>
    <mergeCell ref="B193:C193"/>
    <mergeCell ref="B148:C148"/>
    <mergeCell ref="B236:C236"/>
    <mergeCell ref="B154:C154"/>
    <mergeCell ref="B162:C162"/>
    <mergeCell ref="B187:C187"/>
    <mergeCell ref="B171:C171"/>
    <mergeCell ref="B184:J184"/>
    <mergeCell ref="B151:C151"/>
    <mergeCell ref="B165:C165"/>
    <mergeCell ref="B160:C160"/>
    <mergeCell ref="B188:C188"/>
    <mergeCell ref="B157:C157"/>
    <mergeCell ref="B182:C183"/>
    <mergeCell ref="D182:D183"/>
    <mergeCell ref="E182:H182"/>
    <mergeCell ref="I182:I183"/>
    <mergeCell ref="J182:J183"/>
    <mergeCell ref="E207:H207"/>
    <mergeCell ref="B167:C167"/>
    <mergeCell ref="B229:C230"/>
    <mergeCell ref="D229:D230"/>
    <mergeCell ref="E229:H229"/>
    <mergeCell ref="B136:C136"/>
    <mergeCell ref="B131:C131"/>
    <mergeCell ref="B128:C128"/>
    <mergeCell ref="B141:C141"/>
    <mergeCell ref="B156:C156"/>
    <mergeCell ref="B155:C155"/>
    <mergeCell ref="B144:J144"/>
    <mergeCell ref="B145:C145"/>
    <mergeCell ref="B146:C146"/>
    <mergeCell ref="J142:J143"/>
    <mergeCell ref="B150:C150"/>
    <mergeCell ref="B149:C149"/>
    <mergeCell ref="A324:J324"/>
    <mergeCell ref="B228:C228"/>
    <mergeCell ref="B249:I249"/>
    <mergeCell ref="B14:C14"/>
    <mergeCell ref="B176:C176"/>
    <mergeCell ref="B203:C203"/>
    <mergeCell ref="B224:C224"/>
    <mergeCell ref="B216:C216"/>
    <mergeCell ref="B220:C220"/>
    <mergeCell ref="B222:C222"/>
    <mergeCell ref="B186:C186"/>
    <mergeCell ref="B215:C215"/>
    <mergeCell ref="B190:C190"/>
    <mergeCell ref="B197:C197"/>
    <mergeCell ref="B195:C195"/>
    <mergeCell ref="B191:C191"/>
    <mergeCell ref="B225:C225"/>
    <mergeCell ref="B159:C159"/>
    <mergeCell ref="B98:J98"/>
    <mergeCell ref="B91:C91"/>
    <mergeCell ref="B92:J92"/>
    <mergeCell ref="B93:C93"/>
    <mergeCell ref="B80:J80"/>
    <mergeCell ref="B49:J49"/>
    <mergeCell ref="B97:C97"/>
    <mergeCell ref="B101:I101"/>
    <mergeCell ref="B102:J102"/>
    <mergeCell ref="B99:C99"/>
    <mergeCell ref="B117:C117"/>
    <mergeCell ref="B118:C118"/>
    <mergeCell ref="B130:C130"/>
    <mergeCell ref="B120:C120"/>
    <mergeCell ref="B137:C137"/>
    <mergeCell ref="B119:C119"/>
    <mergeCell ref="B133:C133"/>
    <mergeCell ref="B127:C127"/>
    <mergeCell ref="B135:C135"/>
    <mergeCell ref="B123:C123"/>
    <mergeCell ref="B132:C132"/>
    <mergeCell ref="B134:C134"/>
    <mergeCell ref="B121:C121"/>
    <mergeCell ref="B122:C122"/>
    <mergeCell ref="B115:C115"/>
    <mergeCell ref="B129:C129"/>
    <mergeCell ref="B113:C113"/>
    <mergeCell ref="B108:C108"/>
    <mergeCell ref="B109:C109"/>
    <mergeCell ref="B110:C110"/>
    <mergeCell ref="B100:C100"/>
    <mergeCell ref="B138:C138"/>
    <mergeCell ref="B140:C140"/>
    <mergeCell ref="A1:J1"/>
    <mergeCell ref="B2:J2"/>
    <mergeCell ref="B5:J5"/>
    <mergeCell ref="I47:I48"/>
    <mergeCell ref="B94:C94"/>
    <mergeCell ref="B95:C95"/>
    <mergeCell ref="B96:C96"/>
    <mergeCell ref="A3:A4"/>
    <mergeCell ref="B3:B4"/>
    <mergeCell ref="C3:C4"/>
    <mergeCell ref="B45:I45"/>
    <mergeCell ref="J3:J4"/>
    <mergeCell ref="I3:I4"/>
    <mergeCell ref="D3:D4"/>
    <mergeCell ref="B11:C11"/>
    <mergeCell ref="B46:J46"/>
    <mergeCell ref="B74:C74"/>
    <mergeCell ref="J47:J48"/>
    <mergeCell ref="B60:J60"/>
    <mergeCell ref="B62:C62"/>
    <mergeCell ref="E3:H3"/>
    <mergeCell ref="B88:C88"/>
    <mergeCell ref="B89:C89"/>
    <mergeCell ref="B90:C90"/>
    <mergeCell ref="A333:H333"/>
    <mergeCell ref="A325:H325"/>
    <mergeCell ref="A326:H326"/>
    <mergeCell ref="A327:H327"/>
    <mergeCell ref="A328:H328"/>
    <mergeCell ref="A329:H329"/>
    <mergeCell ref="A332:H332"/>
    <mergeCell ref="A331:H331"/>
    <mergeCell ref="A330:H330"/>
    <mergeCell ref="B217:C217"/>
    <mergeCell ref="B221:C221"/>
    <mergeCell ref="B199:C199"/>
    <mergeCell ref="B202:C202"/>
    <mergeCell ref="B212:C212"/>
    <mergeCell ref="B209:J209"/>
    <mergeCell ref="I207:I208"/>
    <mergeCell ref="J207:J208"/>
    <mergeCell ref="B254:C254"/>
    <mergeCell ref="B214:C214"/>
    <mergeCell ref="B242:C242"/>
    <mergeCell ref="B240:C240"/>
    <mergeCell ref="B23:C23"/>
    <mergeCell ref="B147:C147"/>
    <mergeCell ref="B177:C177"/>
    <mergeCell ref="B178:C178"/>
    <mergeCell ref="B179:C179"/>
    <mergeCell ref="B181:C181"/>
    <mergeCell ref="B174:J174"/>
    <mergeCell ref="B175:C175"/>
    <mergeCell ref="B153:C153"/>
    <mergeCell ref="B164:C164"/>
    <mergeCell ref="B158:C158"/>
    <mergeCell ref="B152:C152"/>
    <mergeCell ref="B161:C161"/>
    <mergeCell ref="B24:J24"/>
    <mergeCell ref="B30:C30"/>
    <mergeCell ref="B33:J33"/>
    <mergeCell ref="B43:C43"/>
    <mergeCell ref="B163:C163"/>
    <mergeCell ref="B166:C166"/>
    <mergeCell ref="J172:J173"/>
    <mergeCell ref="B84:C84"/>
    <mergeCell ref="B85:C85"/>
    <mergeCell ref="B86:C86"/>
    <mergeCell ref="B111:C111"/>
    <mergeCell ref="A31:A32"/>
    <mergeCell ref="B31:B32"/>
    <mergeCell ref="C31:C32"/>
    <mergeCell ref="D31:D32"/>
    <mergeCell ref="E31:H31"/>
    <mergeCell ref="I31:I32"/>
    <mergeCell ref="J31:J32"/>
    <mergeCell ref="B77:C77"/>
    <mergeCell ref="B67:C67"/>
    <mergeCell ref="B68:C68"/>
    <mergeCell ref="B69:C69"/>
    <mergeCell ref="A47:A48"/>
    <mergeCell ref="B75:J75"/>
    <mergeCell ref="B76:C76"/>
    <mergeCell ref="B54:C54"/>
    <mergeCell ref="B55:J55"/>
    <mergeCell ref="B70:J70"/>
    <mergeCell ref="B71:C71"/>
    <mergeCell ref="B72:C72"/>
    <mergeCell ref="B73:C73"/>
    <mergeCell ref="B64:C64"/>
    <mergeCell ref="B65:J65"/>
    <mergeCell ref="B53:C53"/>
    <mergeCell ref="B61:C61"/>
    <mergeCell ref="A82:A83"/>
    <mergeCell ref="B82:C83"/>
    <mergeCell ref="D82:D83"/>
    <mergeCell ref="E82:H82"/>
    <mergeCell ref="I82:I83"/>
    <mergeCell ref="J82:J83"/>
    <mergeCell ref="B63:C63"/>
    <mergeCell ref="B47:C48"/>
    <mergeCell ref="D47:D48"/>
    <mergeCell ref="B78:C78"/>
    <mergeCell ref="B57:C57"/>
    <mergeCell ref="B58:C58"/>
    <mergeCell ref="B59:C59"/>
    <mergeCell ref="B56:C56"/>
    <mergeCell ref="B66:C66"/>
    <mergeCell ref="B50:J50"/>
    <mergeCell ref="B51:C51"/>
    <mergeCell ref="B52:C52"/>
    <mergeCell ref="E47:H47"/>
    <mergeCell ref="B319:I319"/>
    <mergeCell ref="B320:J320"/>
    <mergeCell ref="B321:J321"/>
    <mergeCell ref="B322:J322"/>
    <mergeCell ref="B323:J323"/>
    <mergeCell ref="B247:C247"/>
    <mergeCell ref="B281:J281"/>
    <mergeCell ref="B295:I295"/>
    <mergeCell ref="B318:I318"/>
    <mergeCell ref="B275:C275"/>
    <mergeCell ref="B279:C279"/>
    <mergeCell ref="B278:C278"/>
    <mergeCell ref="B253:C253"/>
    <mergeCell ref="B255:C255"/>
    <mergeCell ref="B256:C256"/>
    <mergeCell ref="B257:C257"/>
    <mergeCell ref="B258:C258"/>
    <mergeCell ref="B259:C259"/>
    <mergeCell ref="B276:C276"/>
    <mergeCell ref="B280:I280"/>
    <mergeCell ref="B277:C277"/>
    <mergeCell ref="B291:C291"/>
    <mergeCell ref="B293:C293"/>
    <mergeCell ref="B296:J296"/>
    <mergeCell ref="A103:A104"/>
    <mergeCell ref="B103:C104"/>
    <mergeCell ref="D103:D104"/>
    <mergeCell ref="E103:H103"/>
    <mergeCell ref="I103:I104"/>
    <mergeCell ref="J103:J104"/>
    <mergeCell ref="B227:C227"/>
    <mergeCell ref="B226:C226"/>
    <mergeCell ref="B246:C246"/>
    <mergeCell ref="B244:C244"/>
    <mergeCell ref="B245:C245"/>
    <mergeCell ref="B241:C241"/>
    <mergeCell ref="B170:C170"/>
    <mergeCell ref="B180:C180"/>
    <mergeCell ref="B205:C205"/>
    <mergeCell ref="B112:C112"/>
    <mergeCell ref="B106:C106"/>
    <mergeCell ref="B107:C107"/>
    <mergeCell ref="B105:J105"/>
    <mergeCell ref="B194:C194"/>
    <mergeCell ref="B219:C219"/>
    <mergeCell ref="B223:C223"/>
    <mergeCell ref="B200:C200"/>
    <mergeCell ref="B218:C218"/>
  </mergeCells>
  <phoneticPr fontId="16" type="noConversion"/>
  <pageMargins left="0.39370078740157483" right="0.31496062992125984" top="0.39370078740157483" bottom="0.39370078740157483" header="0.51181102362204722" footer="0.51181102362204722"/>
  <pageSetup paperSize="9" scale="60" firstPageNumber="0" fitToHeight="0" orientation="landscape" horizontalDpi="4294967294" verticalDpi="300" r:id="rId1"/>
  <headerFooter alignWithMargins="0"/>
  <rowBreaks count="13" manualBreakCount="13">
    <brk id="30" max="9" man="1"/>
    <brk id="45" max="16383" man="1"/>
    <brk id="101" max="9" man="1"/>
    <brk id="123" max="9" man="1"/>
    <brk id="141" max="9" man="1"/>
    <brk id="171" max="9" man="1"/>
    <brk id="181" max="9" man="1"/>
    <brk id="206" max="9" man="1"/>
    <brk id="228" max="9" man="1"/>
    <brk id="249" max="9" man="1"/>
    <brk id="280" max="9" man="1"/>
    <brk id="295" max="16383" man="1"/>
    <brk id="323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4D67ADA26B704EB647D8E123C3661F" ma:contentTypeVersion="8" ma:contentTypeDescription="Vytvoří nový dokument" ma:contentTypeScope="" ma:versionID="e6b1d78e29f2658e9f3d3420aefd0118">
  <xsd:schema xmlns:xsd="http://www.w3.org/2001/XMLSchema" xmlns:xs="http://www.w3.org/2001/XMLSchema" xmlns:p="http://schemas.microsoft.com/office/2006/metadata/properties" xmlns:ns2="df6bd295-4012-404d-8939-c11beffc6bb2" targetNamespace="http://schemas.microsoft.com/office/2006/metadata/properties" ma:root="true" ma:fieldsID="14d9061045b41f7d37be8d765a4faba8" ns2:_="">
    <xsd:import namespace="df6bd295-4012-404d-8939-c11beffc6b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bd295-4012-404d-8939-c11beffc6b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F1428B-73AA-4FFE-A29A-5B38430712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6bd295-4012-404d-8939-c11beffc6b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2BCB33-6C87-4A47-A85B-FCD37FE53E3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C7FAB75-F3E4-4596-9287-5B4851316A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5</vt:i4>
      </vt:variant>
    </vt:vector>
  </HeadingPairs>
  <TitlesOfParts>
    <vt:vector size="6" baseType="lpstr">
      <vt:lpstr>ROZPOČET</vt:lpstr>
      <vt:lpstr>__xlnm.Print_Area_1</vt:lpstr>
      <vt:lpstr>Excel_BuiltIn_Print_Area_1_1</vt:lpstr>
      <vt:lpstr>Excel_BuiltIn_Print_Area_1_1_1</vt:lpstr>
      <vt:lpstr>Excel_BuiltIn_Print_Area_1_1_1_1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smradoch</dc:creator>
  <cp:lastModifiedBy>Honza Malina</cp:lastModifiedBy>
  <cp:lastPrinted>2020-03-19T09:22:25Z</cp:lastPrinted>
  <dcterms:created xsi:type="dcterms:W3CDTF">2014-02-15T18:10:23Z</dcterms:created>
  <dcterms:modified xsi:type="dcterms:W3CDTF">2020-07-20T10:11:38Z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0x0101008A4D67ADA26B704EB647D8E123C3661F</vt:lpwstr>
  </property>
</Properties>
</file>